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embeddings/oleObject1.bin" ContentType="application/vnd.openxmlformats-officedocument.oleObject"/>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ortega\Desktop\DORTEGA\Reforma Norma Compras y Ventas de Activos Crediticios\IS Anexo Marco Contable_v3\Documentos en Excel y Word\"/>
    </mc:Choice>
  </mc:AlternateContent>
  <bookViews>
    <workbookView xWindow="14410" yWindow="-110" windowWidth="14380" windowHeight="14090" tabRatio="804"/>
  </bookViews>
  <sheets>
    <sheet name="Portada EEFF Auditados" sheetId="20" r:id="rId1"/>
    <sheet name="ESFS Anual" sheetId="8" r:id="rId2"/>
    <sheet name="ER Anual" sheetId="13" r:id="rId3"/>
    <sheet name="ORI Anual" sheetId="14" r:id="rId4"/>
    <sheet name="ECP Anual" sheetId="4" r:id="rId5"/>
    <sheet name="EFE Anual" sheetId="5" r:id="rId6"/>
    <sheet name="Portada EEFF Mensuales" sheetId="21" r:id="rId7"/>
    <sheet name="ESF mensual" sheetId="15" r:id="rId8"/>
    <sheet name="ER mensual" sheetId="16" r:id="rId9"/>
    <sheet name="Portada ORI Anual" sheetId="19" r:id="rId10"/>
    <sheet name="ORI Anual SIBOIF" sheetId="18" r:id="rId11"/>
  </sheets>
  <definedNames>
    <definedName name="_xlnm.Print_Area" localSheetId="4">'ECP Anual'!$A$1:$O$40</definedName>
    <definedName name="_xlnm.Print_Area" localSheetId="5">'EFE Anual'!$A$1:$E$129</definedName>
    <definedName name="_xlnm.Print_Area" localSheetId="2">'ER Anual'!$A$1:$E$93</definedName>
    <definedName name="_xlnm.Print_Area" localSheetId="8">'ER mensual'!$A$1:$C$88</definedName>
    <definedName name="_xlnm.Print_Area" localSheetId="7">'ESF mensual'!$A$1:$C$118</definedName>
    <definedName name="_xlnm.Print_Area" localSheetId="1">'ESFS Anual'!$A$1:$E$131</definedName>
    <definedName name="_xlnm.Print_Area" localSheetId="3">'ORI Anual'!$A$1:$F$60</definedName>
    <definedName name="_xlnm.Print_Area" localSheetId="10">'ORI Anual SIBOIF'!$A$1:$F$60</definedName>
    <definedName name="_xlnm.Print_Titles" localSheetId="5">'EFE Anual'!$1:$11</definedName>
    <definedName name="_xlnm.Print_Titles" localSheetId="2">'ER Anual'!$1:$10</definedName>
    <definedName name="_xlnm.Print_Titles" localSheetId="8">'ER mensual'!$1:$9</definedName>
    <definedName name="_xlnm.Print_Titles" localSheetId="7">'ESF mensual'!$1:$9</definedName>
    <definedName name="_xlnm.Print_Titles" localSheetId="1">'ESFS Anual'!$1:$10</definedName>
  </definedNames>
  <calcPr calcId="162913"/>
</workbook>
</file>

<file path=xl/calcChain.xml><?xml version="1.0" encoding="utf-8"?>
<calcChain xmlns="http://schemas.openxmlformats.org/spreadsheetml/2006/main">
  <c r="F12" i="18" l="1"/>
  <c r="F45" i="18" s="1"/>
  <c r="E12" i="18"/>
  <c r="E45" i="18" s="1"/>
  <c r="E114" i="5" l="1"/>
  <c r="D114" i="5"/>
  <c r="E110" i="5"/>
  <c r="D110" i="5"/>
  <c r="E108" i="5"/>
  <c r="D108" i="5"/>
  <c r="E99" i="5"/>
  <c r="D99" i="5"/>
  <c r="E87" i="5"/>
  <c r="D87" i="5"/>
  <c r="E82" i="5"/>
  <c r="D82" i="5"/>
  <c r="E81" i="5"/>
  <c r="D81" i="5"/>
  <c r="E78" i="5"/>
  <c r="E89" i="5" s="1"/>
  <c r="E75" i="5"/>
  <c r="D75" i="5"/>
  <c r="D78" i="5" s="1"/>
  <c r="D89" i="5" s="1"/>
  <c r="E74" i="5"/>
  <c r="D74" i="5"/>
  <c r="D65" i="5"/>
  <c r="E64" i="5"/>
  <c r="D64" i="5"/>
  <c r="E63" i="5"/>
  <c r="D63" i="5"/>
  <c r="E62" i="5"/>
  <c r="D62" i="5"/>
  <c r="E61" i="5"/>
  <c r="D61" i="5"/>
  <c r="E60" i="5"/>
  <c r="D60" i="5"/>
  <c r="E58" i="5"/>
  <c r="D58" i="5"/>
  <c r="E57" i="5"/>
  <c r="E65" i="5" s="1"/>
  <c r="D57" i="5"/>
  <c r="E54" i="5"/>
  <c r="E53" i="5"/>
  <c r="D53" i="5"/>
  <c r="E51" i="5"/>
  <c r="D51" i="5"/>
  <c r="E50" i="5"/>
  <c r="D50" i="5"/>
  <c r="E49" i="5"/>
  <c r="D49" i="5"/>
  <c r="D54" i="5" s="1"/>
  <c r="D67" i="5" s="1"/>
  <c r="E47" i="5"/>
  <c r="D47" i="5"/>
  <c r="E46" i="5"/>
  <c r="D46" i="5"/>
  <c r="E45" i="5"/>
  <c r="D45" i="5"/>
  <c r="D40" i="5"/>
  <c r="E39" i="5"/>
  <c r="E37" i="5"/>
  <c r="D37" i="5"/>
  <c r="E36" i="5"/>
  <c r="D36" i="5"/>
  <c r="E35" i="5"/>
  <c r="D35" i="5"/>
  <c r="E34" i="5"/>
  <c r="E40" i="5" s="1"/>
  <c r="D34" i="5"/>
  <c r="E32" i="5"/>
  <c r="D32" i="5"/>
  <c r="E31" i="5"/>
  <c r="D31" i="5"/>
  <c r="D27" i="5"/>
  <c r="D28" i="5" s="1"/>
  <c r="E23" i="5"/>
  <c r="D23" i="5"/>
  <c r="E19" i="5"/>
  <c r="D19" i="5"/>
  <c r="E18" i="5"/>
  <c r="E28" i="5" s="1"/>
  <c r="D18" i="5"/>
  <c r="E14" i="5"/>
  <c r="D14" i="5"/>
  <c r="D69" i="5" s="1"/>
  <c r="D112" i="5" s="1"/>
  <c r="D116" i="5" s="1"/>
  <c r="M28" i="4"/>
  <c r="I28" i="4"/>
  <c r="G28" i="4"/>
  <c r="N27" i="4"/>
  <c r="K27" i="4"/>
  <c r="L27" i="4" s="1"/>
  <c r="O27" i="4" s="1"/>
  <c r="J27" i="4"/>
  <c r="L26" i="4"/>
  <c r="O26" i="4" s="1"/>
  <c r="K25" i="4"/>
  <c r="L25" i="4" s="1"/>
  <c r="O25" i="4" s="1"/>
  <c r="H25" i="4"/>
  <c r="O24" i="4"/>
  <c r="L24" i="4"/>
  <c r="L23" i="4"/>
  <c r="O23" i="4" s="1"/>
  <c r="K23" i="4"/>
  <c r="L22" i="4"/>
  <c r="O22" i="4" s="1"/>
  <c r="L21" i="4"/>
  <c r="O21" i="4" s="1"/>
  <c r="H20" i="4"/>
  <c r="E20" i="4"/>
  <c r="L20" i="4" s="1"/>
  <c r="O20" i="4" s="1"/>
  <c r="L19" i="4"/>
  <c r="O19" i="4" s="1"/>
  <c r="L18" i="4"/>
  <c r="O18" i="4" s="1"/>
  <c r="L17" i="4"/>
  <c r="O17" i="4" s="1"/>
  <c r="K16" i="4"/>
  <c r="L16" i="4" s="1"/>
  <c r="O16" i="4" s="1"/>
  <c r="I15" i="4"/>
  <c r="G15" i="4"/>
  <c r="F15" i="4"/>
  <c r="F28" i="4" s="1"/>
  <c r="E15" i="4"/>
  <c r="E28" i="4" s="1"/>
  <c r="D15" i="4"/>
  <c r="D28" i="4" s="1"/>
  <c r="C15" i="4"/>
  <c r="C28" i="4" s="1"/>
  <c r="L14" i="4"/>
  <c r="O14" i="4" s="1"/>
  <c r="L13" i="4"/>
  <c r="O13" i="4" s="1"/>
  <c r="O12" i="4"/>
  <c r="N12" i="4"/>
  <c r="N15" i="4" s="1"/>
  <c r="N28" i="4" s="1"/>
  <c r="L12" i="4"/>
  <c r="K12" i="4"/>
  <c r="K15" i="4" s="1"/>
  <c r="K28" i="4" s="1"/>
  <c r="J12" i="4"/>
  <c r="J15" i="4" s="1"/>
  <c r="J28" i="4" s="1"/>
  <c r="H12" i="4"/>
  <c r="H15" i="4" s="1"/>
  <c r="H28" i="4" s="1"/>
  <c r="E12" i="4"/>
  <c r="F45" i="14"/>
  <c r="E45" i="14"/>
  <c r="F12" i="14"/>
  <c r="E12" i="14"/>
  <c r="E70" i="13"/>
  <c r="E69" i="13"/>
  <c r="E68" i="13" s="1"/>
  <c r="D68" i="13"/>
  <c r="E66" i="13"/>
  <c r="E65" i="13"/>
  <c r="E63" i="13" s="1"/>
  <c r="D63" i="13"/>
  <c r="E61" i="13"/>
  <c r="E57" i="13"/>
  <c r="E55" i="13"/>
  <c r="E54" i="13"/>
  <c r="E53" i="13" s="1"/>
  <c r="D53" i="13"/>
  <c r="E49" i="13"/>
  <c r="E47" i="13"/>
  <c r="E46" i="13"/>
  <c r="E45" i="13"/>
  <c r="D45" i="13"/>
  <c r="E43" i="13"/>
  <c r="E42" i="13"/>
  <c r="E41" i="13"/>
  <c r="E40" i="13" s="1"/>
  <c r="E38" i="13" s="1"/>
  <c r="D40" i="13"/>
  <c r="D38" i="13"/>
  <c r="D36" i="13"/>
  <c r="E34" i="13"/>
  <c r="E33" i="13"/>
  <c r="E36" i="13" s="1"/>
  <c r="D33" i="13"/>
  <c r="E32" i="13"/>
  <c r="E31" i="13"/>
  <c r="E26" i="13"/>
  <c r="E24" i="13" s="1"/>
  <c r="E19" i="13" s="1"/>
  <c r="E25" i="13"/>
  <c r="D24" i="13"/>
  <c r="E22" i="13"/>
  <c r="E21" i="13"/>
  <c r="E20" i="13"/>
  <c r="D20" i="13"/>
  <c r="D19" i="13" s="1"/>
  <c r="E16" i="13"/>
  <c r="E15" i="13"/>
  <c r="E14" i="13"/>
  <c r="E13" i="13" s="1"/>
  <c r="E17" i="13" s="1"/>
  <c r="E28" i="13" s="1"/>
  <c r="D13" i="13"/>
  <c r="D17" i="13" s="1"/>
  <c r="E112" i="8"/>
  <c r="E110" i="8"/>
  <c r="E109" i="8"/>
  <c r="E108" i="8"/>
  <c r="E104" i="8" s="1"/>
  <c r="E114" i="8" s="1"/>
  <c r="E107" i="8"/>
  <c r="E106" i="8"/>
  <c r="E105" i="8"/>
  <c r="D104" i="8"/>
  <c r="D114" i="8" s="1"/>
  <c r="E96" i="8"/>
  <c r="D93" i="8"/>
  <c r="D98" i="8" s="1"/>
  <c r="D100" i="8" s="1"/>
  <c r="E92" i="8"/>
  <c r="E91" i="8"/>
  <c r="E90" i="8"/>
  <c r="E86" i="8"/>
  <c r="E93" i="8" s="1"/>
  <c r="E98" i="8" s="1"/>
  <c r="E80" i="8"/>
  <c r="E76" i="8"/>
  <c r="E74" i="8"/>
  <c r="A67" i="8"/>
  <c r="A68" i="8" s="1"/>
  <c r="E64" i="8"/>
  <c r="D64" i="8"/>
  <c r="A64" i="8"/>
  <c r="E63" i="8"/>
  <c r="E62" i="8"/>
  <c r="E61" i="8"/>
  <c r="E60" i="8" s="1"/>
  <c r="D60" i="8"/>
  <c r="D82" i="8" s="1"/>
  <c r="E58" i="8"/>
  <c r="E54" i="8"/>
  <c r="E53" i="8"/>
  <c r="E52" i="8"/>
  <c r="E51" i="8"/>
  <c r="A50" i="8"/>
  <c r="A51" i="8" s="1"/>
  <c r="A52" i="8" s="1"/>
  <c r="A53" i="8" s="1"/>
  <c r="A54" i="8" s="1"/>
  <c r="A55" i="8" s="1"/>
  <c r="A56" i="8" s="1"/>
  <c r="A58" i="8" s="1"/>
  <c r="E49" i="8"/>
  <c r="E47" i="8" s="1"/>
  <c r="E82" i="8" s="1"/>
  <c r="A49" i="8"/>
  <c r="E48" i="8"/>
  <c r="D47" i="8"/>
  <c r="E42" i="8"/>
  <c r="E38" i="8"/>
  <c r="E36" i="8"/>
  <c r="E34" i="8"/>
  <c r="E30" i="8"/>
  <c r="E26" i="8"/>
  <c r="E24" i="8"/>
  <c r="E22" i="8"/>
  <c r="E20" i="8"/>
  <c r="E19" i="8"/>
  <c r="E18" i="8" s="1"/>
  <c r="D18" i="8"/>
  <c r="D44" i="8" s="1"/>
  <c r="E13" i="8"/>
  <c r="E44" i="8" s="1"/>
  <c r="E69" i="5" l="1"/>
  <c r="E112" i="5" s="1"/>
  <c r="E116" i="5" s="1"/>
  <c r="E67" i="5"/>
  <c r="L15" i="4"/>
  <c r="E51" i="13"/>
  <c r="E72" i="13" s="1"/>
  <c r="E76" i="13" s="1"/>
  <c r="D28" i="13"/>
  <c r="D51" i="13" s="1"/>
  <c r="D72" i="13" s="1"/>
  <c r="D76" i="13" s="1"/>
  <c r="E100" i="8"/>
  <c r="L28" i="4" l="1"/>
  <c r="O15" i="4"/>
  <c r="O28" i="4" s="1"/>
  <c r="A63" i="15" l="1"/>
  <c r="A64" i="15" s="1"/>
  <c r="A60" i="15"/>
  <c r="A45" i="15"/>
  <c r="A46" i="15" s="1"/>
  <c r="A47" i="15" s="1"/>
  <c r="A48" i="15" s="1"/>
  <c r="A49" i="15" s="1"/>
  <c r="A50" i="15" s="1"/>
  <c r="A51" i="15" s="1"/>
  <c r="A52" i="15" s="1"/>
  <c r="A54" i="15" s="1"/>
</calcChain>
</file>

<file path=xl/sharedStrings.xml><?xml version="1.0" encoding="utf-8"?>
<sst xmlns="http://schemas.openxmlformats.org/spreadsheetml/2006/main" count="632" uniqueCount="323">
  <si>
    <t>Activos no corrientes mantenidos para la venta</t>
  </si>
  <si>
    <t>Participaciones</t>
  </si>
  <si>
    <t>Capital suscrito no pagado</t>
  </si>
  <si>
    <t>Entidades valoradas por el método de la participación</t>
  </si>
  <si>
    <t>OTRO RESULTADO INTEGRAL</t>
  </si>
  <si>
    <t xml:space="preserve">Aportes a Capitalizar </t>
  </si>
  <si>
    <t xml:space="preserve">Resultados acumulados </t>
  </si>
  <si>
    <t>Total fondos propios</t>
  </si>
  <si>
    <t>Diferencia de cotización de instrumentos financieros</t>
  </si>
  <si>
    <t>Ajustes por cambios de políticas contables</t>
  </si>
  <si>
    <t>Ajustes por errores</t>
  </si>
  <si>
    <t>Dividendos en acciones</t>
  </si>
  <si>
    <t xml:space="preserve">Resultado del ejercicio  </t>
  </si>
  <si>
    <t xml:space="preserve">Ajustes para obtener los flujos de efectivo de las actividades de operación </t>
  </si>
  <si>
    <t xml:space="preserve">(Aumento) disminución neto de los activos de operación  </t>
  </si>
  <si>
    <t xml:space="preserve">Aumento ( disminución) neto de los pasivos de operación </t>
  </si>
  <si>
    <t>Instrumentos de deuda a costo amortizado (activo)</t>
  </si>
  <si>
    <t>Otros pagos relacionados con actividades de inversión</t>
  </si>
  <si>
    <t>Dividendos pagados</t>
  </si>
  <si>
    <t>Aportes de Capital</t>
  </si>
  <si>
    <t>Otros pagos relacionados con actividades de financiación</t>
  </si>
  <si>
    <t>NOTA</t>
  </si>
  <si>
    <t>AÑO ACTUAL</t>
  </si>
  <si>
    <t>AÑO ANTERIOR</t>
  </si>
  <si>
    <t>Capital Social Pagado</t>
  </si>
  <si>
    <t>Nombre de la Institución</t>
  </si>
  <si>
    <t>Nota</t>
  </si>
  <si>
    <t>Otro Resultado Integral</t>
  </si>
  <si>
    <t xml:space="preserve">ESTADO DE FLUJOS DE EFECTIVO </t>
  </si>
  <si>
    <t>Pagos</t>
  </si>
  <si>
    <t>Cobros</t>
  </si>
  <si>
    <t>Venta de Activos materiales</t>
  </si>
  <si>
    <t>Venta de Activos intangibles</t>
  </si>
  <si>
    <t>Otros cobros relacionados con actividades de inversión</t>
  </si>
  <si>
    <t>Otros cobros relacionados con actividades de financiación</t>
  </si>
  <si>
    <t>FONDOS PROPIOS</t>
  </si>
  <si>
    <t>ACTIVOS</t>
  </si>
  <si>
    <t>PASIVOS</t>
  </si>
  <si>
    <t>PATRIMONIO</t>
  </si>
  <si>
    <t>Aportes para incrementos de capital</t>
  </si>
  <si>
    <t xml:space="preserve">Primas de emisión </t>
  </si>
  <si>
    <t>INGRESOS POR PRIMAS</t>
  </si>
  <si>
    <t>PRODUCTOS Y GASTOS FINANCIEROS (NETOS)</t>
  </si>
  <si>
    <t>NIC 1 82A, a)</t>
  </si>
  <si>
    <t>Partidas que se reclasificarán al resultado del ejercicio</t>
  </si>
  <si>
    <t>NIC 1 82A, b)</t>
  </si>
  <si>
    <t xml:space="preserve">Otras Transacciones del Patrimonio </t>
  </si>
  <si>
    <t>Obligaciones convertibles en Capital</t>
  </si>
  <si>
    <t xml:space="preserve">Dividendos pagados </t>
  </si>
  <si>
    <t>Otros cambios en el Patrimonio</t>
  </si>
  <si>
    <t>Saldo final al 31 de Diciembre del 20XX</t>
  </si>
  <si>
    <t xml:space="preserve">Capital suscrito </t>
  </si>
  <si>
    <t>Pasivos Fiscales</t>
  </si>
  <si>
    <t xml:space="preserve">Otros pasivos </t>
  </si>
  <si>
    <t>Otros activos</t>
  </si>
  <si>
    <t>Adquisición de Activo Material</t>
  </si>
  <si>
    <t>Adquisición de Activo intangible</t>
  </si>
  <si>
    <t>Emisión de Deuda</t>
  </si>
  <si>
    <t>ACTIVIDADES DE OPERACIÓN</t>
  </si>
  <si>
    <t>Otros Ajustes</t>
  </si>
  <si>
    <t xml:space="preserve">TOTAL AJUSTES </t>
  </si>
  <si>
    <t>TOTAL EFECTIVO GENERADO POR AUMENTO (DISMINUCION) DE ACTIVIDADES DE OPERACIÓN</t>
  </si>
  <si>
    <t>Dividendos Percibidos</t>
  </si>
  <si>
    <t>ACTIVIDADES DE INVERSIÓN</t>
  </si>
  <si>
    <t>ACTIVIDADES DE FINANCIACIÓN</t>
  </si>
  <si>
    <t>Préstamos cancelados</t>
  </si>
  <si>
    <t>Prestamos recibidos</t>
  </si>
  <si>
    <t>AUMENTO (DISMINUCIÓN) NETO DEL EFECTIVO Y EQUIVALENTES AL EFECTIVO</t>
  </si>
  <si>
    <t>CUENTAS CONTINGENTES</t>
  </si>
  <si>
    <t>TOTAL ACTIVOS</t>
  </si>
  <si>
    <t/>
  </si>
  <si>
    <t>responsabilidades en vigor</t>
  </si>
  <si>
    <t>riesgos cedidos en reaseguro</t>
  </si>
  <si>
    <t>responsabilidad por fianzas otorgadas</t>
  </si>
  <si>
    <t>afianzamiento y reafianzamiento cedido</t>
  </si>
  <si>
    <t>TOTAL CAPITAL</t>
  </si>
  <si>
    <t>TOTAL PASIVO MAS CAPITAL</t>
  </si>
  <si>
    <t>ESTADO DE RESULTADOS</t>
  </si>
  <si>
    <t>prima no devengada</t>
  </si>
  <si>
    <t xml:space="preserve">otros productos  </t>
  </si>
  <si>
    <t>otros gastos</t>
  </si>
  <si>
    <t xml:space="preserve">COSTO DE SINIESTRALIDAD  </t>
  </si>
  <si>
    <t>GASTOS OPERACIONALES</t>
  </si>
  <si>
    <t>ESTADO DE SITUACIÓN FINANCIERA</t>
  </si>
  <si>
    <t>Partidas que no se reclasificarán al resultado del ejercicio</t>
  </si>
  <si>
    <t>Impuesto a las ganancias relacionadas con los componentes de otro resultado integral</t>
  </si>
  <si>
    <t>Las notas adjuntas son parte integral de estos estados financieros</t>
  </si>
  <si>
    <t>TOTAL FONDOS PROPIOS</t>
  </si>
  <si>
    <t xml:space="preserve">ESTADO DE CAMBIOS EN EL PATRIMONIO </t>
  </si>
  <si>
    <t>AJUSTES DE TRANSICION</t>
  </si>
  <si>
    <t>Total Resultados Integrales</t>
  </si>
  <si>
    <t>Aumento y Disminución por Ajustes de Transición</t>
  </si>
  <si>
    <t xml:space="preserve">TOTAL PATRIMONIO </t>
  </si>
  <si>
    <t>Los estados financieros y sus notas, aprobados por la Junta Directiva, corresponden unicamente a los estados financieros auditados.</t>
  </si>
  <si>
    <t>Nota:</t>
  </si>
  <si>
    <t>Activo intangible</t>
  </si>
  <si>
    <t>Activo fiscales</t>
  </si>
  <si>
    <t>Primas en deposito</t>
  </si>
  <si>
    <t>Deposito en garantia por fianzas expedidas</t>
  </si>
  <si>
    <t>Obligaciones con instituciones financieras y por otros financiamientos</t>
  </si>
  <si>
    <t>Pasivos fiscales</t>
  </si>
  <si>
    <t>Obligaciones subordinadas y/o convertibles en capital</t>
  </si>
  <si>
    <t>Otros pasivos</t>
  </si>
  <si>
    <t>Otro resultado integral neto</t>
  </si>
  <si>
    <t>Inversiones al valor razonable con cambios en resultados</t>
  </si>
  <si>
    <t>Inversiones al valor razonable con cambios en otro resultado integral</t>
  </si>
  <si>
    <t>Inversiones a costo amortizado</t>
  </si>
  <si>
    <t>Reservas para Riesgos Catastróficos</t>
  </si>
  <si>
    <t>Reservas de Contingencia</t>
  </si>
  <si>
    <t>Reservas tecnicas</t>
  </si>
  <si>
    <t>Reservas para obligaciones pendientes de cumplir por siniestros ocurridos y no reportados</t>
  </si>
  <si>
    <t>Reservas para obligaciones contractuales pendientes de pago</t>
  </si>
  <si>
    <t>Reservas de fondos por rentas y pensiones</t>
  </si>
  <si>
    <t>Pasivos financieros a costo amortizado</t>
  </si>
  <si>
    <t>Acreedores por Primas a devolver</t>
  </si>
  <si>
    <t>Operaciones con valores</t>
  </si>
  <si>
    <t>Fondos propios</t>
  </si>
  <si>
    <t>Capital social pagado</t>
  </si>
  <si>
    <t>Aportes a capitalizar</t>
  </si>
  <si>
    <t>Obligaciones convertibles en capital</t>
  </si>
  <si>
    <t>Reservas patrimoniales</t>
  </si>
  <si>
    <t>Resultados del ejercicio</t>
  </si>
  <si>
    <t>cuentas de orden</t>
  </si>
  <si>
    <t>cuentas de orden por  contra</t>
  </si>
  <si>
    <t>garantias y contragarantias recibidas</t>
  </si>
  <si>
    <t>documentos y valores en custodia</t>
  </si>
  <si>
    <t>primas por cobrar retiradas del activo</t>
  </si>
  <si>
    <t>cuentas de registro diversas</t>
  </si>
  <si>
    <t>Ajustes por revaluación de Propiedad, Planta y Equipo</t>
  </si>
  <si>
    <t>Impuesto a las ganancias relacionados con partidas que no se reclasifican</t>
  </si>
  <si>
    <t>Primas netas emitidas</t>
  </si>
  <si>
    <t>Primas emitidas</t>
  </si>
  <si>
    <t>Primas retenidas</t>
  </si>
  <si>
    <t>Variacion neta de reservas tecnicas de prevision</t>
  </si>
  <si>
    <t>Margen para siniestros y gastos</t>
  </si>
  <si>
    <t>Siniestros Totales</t>
  </si>
  <si>
    <t>(-) Salvamentos y Recuperaciones</t>
  </si>
  <si>
    <t>(-) Neto recuperado por reaseguro /reafianzamiento cedido</t>
  </si>
  <si>
    <t>Siniestros Retenidos</t>
  </si>
  <si>
    <t>Costos de emision</t>
  </si>
  <si>
    <t>Costo de adquisicion</t>
  </si>
  <si>
    <t>Costos de exceso de perdida</t>
  </si>
  <si>
    <t>Otros gastos de adquisicion</t>
  </si>
  <si>
    <t>Otros productos financieros</t>
  </si>
  <si>
    <t>Resultado por variaciones en el tipo de cambio (neto)</t>
  </si>
  <si>
    <t xml:space="preserve">Ingresos por efectos cambiarios </t>
  </si>
  <si>
    <t>Otros productos y gastos  (netos)</t>
  </si>
  <si>
    <t>Utilidad o perdida antes del IR y participaciones</t>
  </si>
  <si>
    <t>Gastos por impuesto sobre la renta</t>
  </si>
  <si>
    <t>Resultado por participación subsidiarias, asociadas y negocios conjuntos</t>
  </si>
  <si>
    <t>Otros Resultados Integrales</t>
  </si>
  <si>
    <t>Saldo reexpresado al 31 de diciembre del 20YY</t>
  </si>
  <si>
    <t xml:space="preserve">Inversiones a valor razonable con cambios en resultados </t>
  </si>
  <si>
    <t>Inversiones a valor razonable con cambios en otro resultado integral</t>
  </si>
  <si>
    <t>Instrumentos de patrimonio con cambios en Otro Resultado Integral</t>
  </si>
  <si>
    <t>Bienes recibidos en recuperación de creditos</t>
  </si>
  <si>
    <t>Reservas de Riesgo en Curso</t>
  </si>
  <si>
    <t>Reserva Matematica</t>
  </si>
  <si>
    <t>Reservas de seguros de vida con cuenta unica de inversión</t>
  </si>
  <si>
    <t>Reservas para siniestros pendientes de liquidación y/o pago</t>
  </si>
  <si>
    <t>Instituciones reaseguradoras y reafianzadoras</t>
  </si>
  <si>
    <t>Obligaciones por emisión de deuda</t>
  </si>
  <si>
    <t>Acreedores por contratos de arrendamiento financiero</t>
  </si>
  <si>
    <t>Variación neta de reservas tecnicas de riesgos en curso</t>
  </si>
  <si>
    <t>Variación de reservas</t>
  </si>
  <si>
    <t>Matematica y por cuenta de inversión</t>
  </si>
  <si>
    <t>Reserva de previsión</t>
  </si>
  <si>
    <t>Reserva catastrófica</t>
  </si>
  <si>
    <t>Utilidad o Perdida Tecnica</t>
  </si>
  <si>
    <t>RESULTADOS DEL EJERCICIO</t>
  </si>
  <si>
    <t xml:space="preserve">Resultados del ejercicio </t>
  </si>
  <si>
    <t>TOTAL PASIVOS</t>
  </si>
  <si>
    <t>Ajustes de Transición</t>
  </si>
  <si>
    <t>Expresado en Córdobas</t>
  </si>
  <si>
    <t>Instrucciones:</t>
  </si>
  <si>
    <t xml:space="preserve">1- Para efectos de presentación del Estado de Situación Financiera Auditado, los saldos de la cuenta de Resultados acumulados de ejercicios </t>
  </si>
  <si>
    <t>anteriores y la cuenta de Resultados del Ejercicio se presentaran sumados en una sola línea bajo el nombre de Resultados Acumulados.</t>
  </si>
  <si>
    <t>2- Los estados financieros y sus notas, aprobados por la Junta Directiva, corresponden unicamente a los Estados Financieros Auditados.</t>
  </si>
  <si>
    <t>3.- En el caso de que existiesen cuentas contables con saldos cero en los periodos comparados, las mismas no serán presentadas en el Estado</t>
  </si>
  <si>
    <t xml:space="preserve"> de Situación Financiera.  </t>
  </si>
  <si>
    <t>El presente Estado de Resultados fue aprobado por la Junta Directiva bajo la responsabilidad de los funcionarios que la suscriben</t>
  </si>
  <si>
    <t>auditados</t>
  </si>
  <si>
    <t xml:space="preserve">1- Los estados financieros y sus notas, aprobados por la Junta Directiva, corresponden unicamente a los estados financieros </t>
  </si>
  <si>
    <t>presentadas en el Estado de Resultados</t>
  </si>
  <si>
    <t>2.- En el caso de que existiesen cuentas contables con saldos cero en los periodos comparados, las mismas no serán</t>
  </si>
  <si>
    <t>El presente Estado de Otro Resultado Integral fue aprobado por la Junta Directiva bajo la responsabilidad de los funcionarios que la suscriben</t>
  </si>
  <si>
    <t>Las notas adjuntas son parte integral de estos Estados Financieros</t>
  </si>
  <si>
    <t>1.- Los Estados Financieros y sus notas, aprobados por la Junta Directiva, corresponden únicamente a los Estados Financieros Auditados</t>
  </si>
  <si>
    <t xml:space="preserve">2.- En el caso de que existiesen cuentas contables con saldos cero en los periodos comparados, las mismas no serán presentadas en el </t>
  </si>
  <si>
    <t>Estado de Otro Resultado Integral</t>
  </si>
  <si>
    <t xml:space="preserve">4.- En el caso de que no existan saldos en ninguna de las cuentas del ORI durante el periodo, deberá presentarse en el Formato y firmados </t>
  </si>
  <si>
    <t xml:space="preserve">por los funcionarios que correspondan. </t>
  </si>
  <si>
    <t>El presente Estado de Cambio en el Patrimonio fue aprobado por la Junta Directiva bajo la responsabilidad de los funcionarios que la suscriben.</t>
  </si>
  <si>
    <t>2.- En el caso de que existiesen cuentas contables con saldos cero en los periodos comparados, las mismas no serán presentadas en el Estado de Cambios en el Patrimonio.</t>
  </si>
  <si>
    <t>El presente Estado de Flujo de Efectivo fue aprobado por la Junta Directiva bajo la responsabilidad de los funcionarios que lo suscriben</t>
  </si>
  <si>
    <t xml:space="preserve">2.- En el caso de que existiesen cuentas contables con saldos cero en los periodos comparados, las mismas no serán </t>
  </si>
  <si>
    <t>presentadas en el Estado de Flujos de Efectivo</t>
  </si>
  <si>
    <t>Al ____de ______________20XX</t>
  </si>
  <si>
    <t>SALDO</t>
  </si>
  <si>
    <t>ESTADO DE SITUACIÓN FINANCIERA MENSUAL</t>
  </si>
  <si>
    <t>ESTADO DE RESULTADOS MENSUAL</t>
  </si>
  <si>
    <t xml:space="preserve">Al ____ de _____________de 20XX
</t>
  </si>
  <si>
    <t xml:space="preserve">1.- En el caso de que existiesen cuentas contables con saldos cero en los periodos comparados, las mismas no serán </t>
  </si>
  <si>
    <t xml:space="preserve">presentadas en el Estado de Resultados </t>
  </si>
  <si>
    <t>TOTAL RESULTADOS INTEGRALES</t>
  </si>
  <si>
    <t>El presente Balance de Situación Financiera fue aprobado por la Junta Directiva bajo la responsabilidad de los funcionarios que la suscriben.</t>
  </si>
  <si>
    <t xml:space="preserve">1.- En el caso de que existiesen cuentas contables con saldos cero en los periodos comparados, las mismas </t>
  </si>
  <si>
    <t xml:space="preserve"> no serán presentadas en el Estado de Situación Financiera. </t>
  </si>
  <si>
    <t>Otras cuentas por cobrar</t>
  </si>
  <si>
    <t>Participaciones en acciones</t>
  </si>
  <si>
    <t>Inversiones de Beneficios Laborales</t>
  </si>
  <si>
    <t>Comisiones a intermediarios de seguros</t>
  </si>
  <si>
    <t>Primas por Cobrar (neto)</t>
  </si>
  <si>
    <t>Obligaciones por operaciones de seguro y fianzas</t>
  </si>
  <si>
    <t>Provisiones Laborales</t>
  </si>
  <si>
    <t xml:space="preserve">Primas cedidas </t>
  </si>
  <si>
    <t>Gastos de Operación (netos)</t>
  </si>
  <si>
    <t>Gastos de Administración y Generales</t>
  </si>
  <si>
    <t>(-) derechos de emisión sobre pólizas</t>
  </si>
  <si>
    <t>Egresos por efectos cambiarios</t>
  </si>
  <si>
    <t>Instituciones reaseguradoras y reafianzadoras (neto)</t>
  </si>
  <si>
    <t>Devoluciones y cancelaciones</t>
  </si>
  <si>
    <t>Costo de Siniestralidad  Neta</t>
  </si>
  <si>
    <t>Productos Financieros</t>
  </si>
  <si>
    <t>Gastos Financieros</t>
  </si>
  <si>
    <t>Otros Gastos Financieros</t>
  </si>
  <si>
    <t>Gastos por Impuesto sobre la Renta</t>
  </si>
  <si>
    <t>Efectivo y Equivalente al Efectivo</t>
  </si>
  <si>
    <t>Obligaciones por operaciones de seguros y fianzas</t>
  </si>
  <si>
    <t>Otras Cuentas por Cobrar</t>
  </si>
  <si>
    <t>Resultados del Ejercicio</t>
  </si>
  <si>
    <t>Otras Reservas</t>
  </si>
  <si>
    <t>Reserva Legal</t>
  </si>
  <si>
    <t>Traspaso a la reserva legal</t>
  </si>
  <si>
    <t xml:space="preserve">Capitalizacion de utilidades acumuladas  </t>
  </si>
  <si>
    <t>-De Riesgos en Curso</t>
  </si>
  <si>
    <t>-Matemáticas</t>
  </si>
  <si>
    <t>-De Seguro de Vida con Cuenta Unica de Inversión</t>
  </si>
  <si>
    <t>-Para Siniestros Pendientes de Liquidación y/o Pago</t>
  </si>
  <si>
    <t>-Para Obligaciones Pendientes de Cumplir por Siniestros Ocurridos y No Reportados</t>
  </si>
  <si>
    <t>-De Contingencia</t>
  </si>
  <si>
    <t>-Para Riesgos Catastroficos</t>
  </si>
  <si>
    <t>-De Fondos por Rentas y Pensiones</t>
  </si>
  <si>
    <t>-Para Obligaciones Contractuales Pendientes de Pago</t>
  </si>
  <si>
    <t>Variación Neta de Reservas Técnicas</t>
  </si>
  <si>
    <t>TOTAL VARIACIONES</t>
  </si>
  <si>
    <t>Primas por Cobrar</t>
  </si>
  <si>
    <t>Pago de Deuda</t>
  </si>
  <si>
    <t>Provisión para Primas por Cobrar</t>
  </si>
  <si>
    <t>Provisión para incobrabilidad de la cartera de creditos</t>
  </si>
  <si>
    <t>Provisión y Deterioro de Inversiones</t>
  </si>
  <si>
    <t>Provisión para otros deudores</t>
  </si>
  <si>
    <t>Provisión para instituciones reaseguradoras y reafianzadoras</t>
  </si>
  <si>
    <t>Provisión y Deterioro para Otros Activos</t>
  </si>
  <si>
    <t>Depreciación y deterioro de bienes diversos</t>
  </si>
  <si>
    <t>Depreciación y deterioro de propiedades, planta y equipo</t>
  </si>
  <si>
    <t>Amortizacion y deterioro de cuentas varias</t>
  </si>
  <si>
    <t>A</t>
  </si>
  <si>
    <t>B</t>
  </si>
  <si>
    <t>C</t>
  </si>
  <si>
    <t>D</t>
  </si>
  <si>
    <t>E</t>
  </si>
  <si>
    <t>F=(D+E)</t>
  </si>
  <si>
    <t>A+B+C+F</t>
  </si>
  <si>
    <t>G</t>
  </si>
  <si>
    <t>H</t>
  </si>
  <si>
    <t>I= (G+H)</t>
  </si>
  <si>
    <t>J</t>
  </si>
  <si>
    <t>K</t>
  </si>
  <si>
    <t>L=(J+K)</t>
  </si>
  <si>
    <t>M=(F+I+L)</t>
  </si>
  <si>
    <t xml:space="preserve">EFECTIVO Y EQUIVALENTE AL EFECTIVO AL INICIO DEL PERIODO </t>
  </si>
  <si>
    <t>TOTAL EFECTIVO Y EQUIVALENTE AL EFECTIVO AL FINAL DEL PERIODO</t>
  </si>
  <si>
    <t>N</t>
  </si>
  <si>
    <t>O=(M+N)</t>
  </si>
  <si>
    <t>(-) Comisiones y Participaciones de Reaseguro y Reafianzamiento Cedido</t>
  </si>
  <si>
    <t>536 + 537</t>
  </si>
  <si>
    <t xml:space="preserve">    Ajustes por revaluacion de Bienes inmuebles</t>
  </si>
  <si>
    <t xml:space="preserve">    Resultados por valoración</t>
  </si>
  <si>
    <t xml:space="preserve">    Otras reclasificaciones</t>
  </si>
  <si>
    <t xml:space="preserve">    Resultados por valoración </t>
  </si>
  <si>
    <t xml:space="preserve">    Importes transferidos al estado de resultados </t>
  </si>
  <si>
    <t xml:space="preserve">    Impuesto a las ganancias relacionado con partidas que pueden se reclasificadas</t>
  </si>
  <si>
    <t>Total Otro Resultado Integral</t>
  </si>
  <si>
    <t xml:space="preserve">    Impuesto a las ganancias relacionado con partidas que no se reclasifican</t>
  </si>
  <si>
    <t>Activo material</t>
  </si>
  <si>
    <t>Pasivos financieros a valor razonable con cambios en resultados</t>
  </si>
  <si>
    <t>Resultados por Deterioro de Activos Financieros</t>
  </si>
  <si>
    <t>Resultados por Valoración de Instrumentos Financieros y Venta de Activos</t>
  </si>
  <si>
    <t>Instituciones Reaseguradoras y Reafianzadoras (neto)</t>
  </si>
  <si>
    <t>2.- Los cifras deben expresarse en córdobas y con dos decimales.</t>
  </si>
  <si>
    <t>4.- Las cifras deben expresarse en córdobas y sin decimales.</t>
  </si>
  <si>
    <t>3.- Las cifras deben expresarse en córdobas y sin decimales.</t>
  </si>
  <si>
    <t>Cartera a costo amortizado</t>
  </si>
  <si>
    <t>Cartera de Creditos, Neta</t>
  </si>
  <si>
    <t>Superavit por revaluacion de propiedades, planta y equipo</t>
  </si>
  <si>
    <t>Reservas para Obligaciones Laborales al Retiro</t>
  </si>
  <si>
    <t>Efectivo y Equivalentes al Efectivo</t>
  </si>
  <si>
    <r>
      <t>RESULTADO</t>
    </r>
    <r>
      <rPr>
        <b/>
        <sz val="10"/>
        <color theme="0"/>
        <rFont val="Calibri"/>
        <family val="2"/>
      </rPr>
      <t>S DEL EJERCICIO</t>
    </r>
  </si>
  <si>
    <t>(Managua, Nicaragua)</t>
  </si>
  <si>
    <t>Al 31 de Diciembre del 20XX</t>
  </si>
  <si>
    <t>(Expresado en Córdobas)</t>
  </si>
  <si>
    <t>5.- En el caso que la institución aplique un cambio contable de forma retroactiva (NIC 8), deberá presentar una columna adicional en el estado de situación financiera al comienzo del primer periodo inmediato anterior.</t>
  </si>
  <si>
    <t>Por el año terminado el 31 de Diciembre del 20XX</t>
  </si>
  <si>
    <t>ESTADO DE OTRO RESULTADO INTEGRAL</t>
  </si>
  <si>
    <t>Por el año terminado el 31 de Diciembre del 20XX 
(Expresado en Córdobas)</t>
  </si>
  <si>
    <r>
      <t xml:space="preserve">Saldo </t>
    </r>
    <r>
      <rPr>
        <b/>
        <sz val="11"/>
        <rFont val="Arial"/>
        <family val="2"/>
      </rPr>
      <t>al 31 de Diciembre del 20YY</t>
    </r>
  </si>
  <si>
    <t xml:space="preserve">Por el año terminado el 31 de Diciembre del 20XX 
</t>
  </si>
  <si>
    <t>Activo Intangible</t>
  </si>
  <si>
    <t>Donaciones realizadas por transferencias</t>
  </si>
  <si>
    <t>Donaciones por RSE</t>
  </si>
  <si>
    <r>
      <t xml:space="preserve">EFECTIVO NETO (UTILIZADO EN) </t>
    </r>
    <r>
      <rPr>
        <b/>
        <sz val="10"/>
        <rFont val="Arial"/>
        <family val="2"/>
      </rPr>
      <t>POR ACTIVIDADES DE OPERACIÓN</t>
    </r>
  </si>
  <si>
    <t>EFECTIVO NETO (UTILIZADO EN) POR ACTIVIDADES DE INVERSION</t>
  </si>
  <si>
    <t>EFECTIVO NETO (UTILIZADO EN)  POR ACTIVIDADES DE FINANCIACION</t>
  </si>
  <si>
    <t>1.- Este formato debe ser utilizado para la presentación anual a la SIBOIF.</t>
  </si>
  <si>
    <t>MARCO CONTABLE</t>
  </si>
  <si>
    <t>SECCIÓN 4</t>
  </si>
  <si>
    <t>MODELO DE ESTADO DE OTRO RESULTADO INTEGRAL ANUAL</t>
  </si>
  <si>
    <t>RESOLUCIÓN CD-SIBOIF-1028-1-NOV21-2017</t>
  </si>
  <si>
    <t>INTENDENCIA DE SEGUROS</t>
  </si>
  <si>
    <t>MODELO DE ESTADOS FINANCIEROS AUDITADOS</t>
  </si>
  <si>
    <t>MODELO DE ESTADOS FINANCIEROS MENSUALES</t>
  </si>
  <si>
    <t xml:space="preserve"> INSTITUCIONES DE SEGUROS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</si>
</sst>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_(* \(#,##0.00\);_(* &quot;-&quot;??_);_(@_)"/>
    <numFmt numFmtId="165" formatCode="#,##0;&quot;-&quot;#,##0"/>
    <numFmt numFmtId="166" formatCode="_-* #,##0_-;\-* #,##0_-;_-* &quot;-&quot;??_-;_-@_-"/>
  </numFmts>
  <fonts count="45" x14ac:knownFonts="1">
    <font>
      <sz val="11"/>
      <color theme="1"/>
      <name val="Calibri"/>
      <family val="2"/>
      <scheme val="minor"/>
    </font>
    <font>
      <sz val="10"/>
      <name val="Arial"/>
      <family val="2"/>
    </font>
    <font>
      <sz val="10"/>
      <color indexed="8"/>
      <name val="Arial"/>
      <family val="2"/>
    </font>
    <font>
      <sz val="9"/>
      <name val="Arial"/>
      <family val="2"/>
    </font>
    <font>
      <b/>
      <sz val="11"/>
      <name val="Arial"/>
      <family val="2"/>
    </font>
    <font>
      <sz val="11"/>
      <name val="Arial"/>
      <family val="2"/>
    </font>
    <font>
      <b/>
      <sz val="9"/>
      <name val="Arial"/>
      <family val="2"/>
    </font>
    <font>
      <sz val="8"/>
      <name val="Arial"/>
      <family val="2"/>
    </font>
    <font>
      <b/>
      <sz val="10"/>
      <name val="Arial"/>
      <family val="2"/>
    </font>
    <font>
      <i/>
      <sz val="10"/>
      <name val="Arial"/>
      <family val="2"/>
    </font>
    <font>
      <sz val="11"/>
      <color theme="1"/>
      <name val="Arial"/>
      <family val="2"/>
    </font>
    <font>
      <b/>
      <sz val="11"/>
      <color theme="0" tint="-0.499984740745262"/>
      <name val="Arial"/>
      <family val="2"/>
    </font>
    <font>
      <sz val="11"/>
      <color theme="0" tint="-0.499984740745262"/>
      <name val="Arial"/>
      <family val="2"/>
    </font>
    <font>
      <b/>
      <sz val="11"/>
      <color theme="1"/>
      <name val="Arial"/>
      <family val="2"/>
    </font>
    <font>
      <u/>
      <sz val="11"/>
      <color theme="1"/>
      <name val="Arial"/>
      <family val="2"/>
    </font>
    <font>
      <b/>
      <sz val="10"/>
      <color theme="1" tint="0.499984740745262"/>
      <name val="Arial"/>
      <family val="2"/>
    </font>
    <font>
      <u/>
      <sz val="8"/>
      <color theme="1"/>
      <name val="Arial"/>
      <family val="2"/>
    </font>
    <font>
      <b/>
      <sz val="11"/>
      <color theme="4" tint="-0.499984740745262"/>
      <name val="Calibri"/>
      <family val="2"/>
      <scheme val="minor"/>
    </font>
    <font>
      <b/>
      <sz val="10"/>
      <name val="Calibri"/>
      <family val="2"/>
      <scheme val="minor"/>
    </font>
    <font>
      <b/>
      <sz val="10"/>
      <color theme="0"/>
      <name val="Calibri"/>
      <family val="2"/>
      <scheme val="minor"/>
    </font>
    <font>
      <sz val="10"/>
      <color theme="1"/>
      <name val="Arial"/>
      <family val="2"/>
    </font>
    <font>
      <b/>
      <sz val="10"/>
      <color theme="5" tint="-0.249977111117893"/>
      <name val="Arial"/>
      <family val="2"/>
    </font>
    <font>
      <u/>
      <sz val="10"/>
      <color theme="1"/>
      <name val="Arial"/>
      <family val="2"/>
    </font>
    <font>
      <b/>
      <sz val="10"/>
      <color theme="0" tint="-0.499984740745262"/>
      <name val="Arial"/>
      <family val="2"/>
    </font>
    <font>
      <b/>
      <sz val="10"/>
      <color theme="0"/>
      <name val="Arial"/>
      <family val="2"/>
    </font>
    <font>
      <b/>
      <sz val="9"/>
      <color theme="0"/>
      <name val="Calibri"/>
      <family val="2"/>
      <scheme val="minor"/>
    </font>
    <font>
      <b/>
      <sz val="10"/>
      <color theme="1"/>
      <name val="Arial"/>
      <family val="2"/>
    </font>
    <font>
      <b/>
      <sz val="11"/>
      <name val="Calibri"/>
      <family val="2"/>
      <scheme val="minor"/>
    </font>
    <font>
      <b/>
      <sz val="11"/>
      <color theme="4" tint="-0.499984740745262"/>
      <name val="Arial"/>
      <family val="2"/>
    </font>
    <font>
      <b/>
      <sz val="9"/>
      <color theme="1"/>
      <name val="Arial"/>
      <family val="2"/>
    </font>
    <font>
      <sz val="10"/>
      <color theme="0"/>
      <name val="Arial"/>
      <family val="2"/>
    </font>
    <font>
      <b/>
      <sz val="10"/>
      <color rgb="FFFF0000"/>
      <name val="Arial"/>
      <family val="2"/>
    </font>
    <font>
      <b/>
      <sz val="10"/>
      <color theme="0"/>
      <name val="Calibri"/>
      <family val="2"/>
    </font>
    <font>
      <sz val="9"/>
      <color theme="1"/>
      <name val="Arial"/>
      <family val="2"/>
    </font>
    <font>
      <sz val="11"/>
      <color theme="1"/>
      <name val="Calibri"/>
      <family val="2"/>
      <scheme val="minor"/>
    </font>
    <font>
      <b/>
      <strike/>
      <sz val="10"/>
      <color rgb="FFFF0000"/>
      <name val="Arial"/>
      <family val="2"/>
    </font>
    <font>
      <sz val="10"/>
      <color rgb="FFFF0000"/>
      <name val="Arial"/>
      <family val="2"/>
    </font>
    <font>
      <strike/>
      <sz val="11"/>
      <color rgb="FFFF0000"/>
      <name val="Arial"/>
      <family val="2"/>
    </font>
    <font>
      <b/>
      <strike/>
      <sz val="11"/>
      <color rgb="FFFF0000"/>
      <name val="Arial"/>
      <family val="2"/>
    </font>
    <font>
      <b/>
      <strike/>
      <sz val="11"/>
      <color theme="1" tint="0.499984740745262"/>
      <name val="Arial"/>
      <family val="2"/>
    </font>
    <font>
      <strike/>
      <sz val="10"/>
      <color rgb="FFFF0000"/>
      <name val="Arial"/>
      <family val="2"/>
    </font>
    <font>
      <b/>
      <u/>
      <sz val="10"/>
      <color theme="1"/>
      <name val="Arial"/>
      <family val="2"/>
    </font>
    <font>
      <b/>
      <sz val="12"/>
      <color theme="1"/>
      <name val="Arial"/>
      <family val="2"/>
    </font>
    <font>
      <sz val="12"/>
      <color theme="1"/>
      <name val="Arial"/>
      <family val="2"/>
    </font>
    <font>
      <sz val="12"/>
      <color theme="1"/>
      <name val="Symbol"/>
      <family val="1"/>
      <charset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0" tint="-0.249977111117893"/>
        <bgColor indexed="64"/>
      </patternFill>
    </fill>
    <fill>
      <patternFill patternType="solid">
        <fgColor rgb="FFE2DFCC"/>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FFFF"/>
      </patternFill>
    </fill>
  </fills>
  <borders count="2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8">
    <xf numFmtId="0" fontId="0" fillId="0" borderId="0"/>
    <xf numFmtId="164" fontId="2" fillId="0" borderId="0" applyFont="0" applyFill="0" applyBorder="0" applyAlignment="0" applyProtection="0">
      <alignment vertical="top"/>
    </xf>
    <xf numFmtId="164" fontId="2" fillId="0" borderId="0" applyFont="0" applyFill="0" applyBorder="0" applyAlignment="0" applyProtection="0">
      <alignment vertical="top"/>
    </xf>
    <xf numFmtId="0" fontId="1" fillId="0" borderId="0"/>
    <xf numFmtId="0" fontId="2" fillId="0" borderId="0">
      <alignment vertical="top"/>
    </xf>
    <xf numFmtId="0" fontId="3" fillId="0" borderId="0"/>
    <xf numFmtId="0" fontId="1" fillId="0" borderId="0"/>
    <xf numFmtId="43" fontId="34" fillId="0" borderId="0" applyFont="0" applyFill="0" applyBorder="0" applyAlignment="0" applyProtection="0"/>
  </cellStyleXfs>
  <cellXfs count="271">
    <xf numFmtId="0" fontId="0" fillId="0" borderId="0" xfId="0"/>
    <xf numFmtId="0" fontId="10" fillId="0" borderId="0" xfId="0" applyFont="1" applyFill="1"/>
    <xf numFmtId="0" fontId="10" fillId="0" borderId="0" xfId="0" applyFont="1"/>
    <xf numFmtId="0" fontId="4" fillId="2" borderId="0" xfId="6" applyFont="1" applyFill="1" applyBorder="1" applyAlignment="1">
      <alignment vertical="center"/>
    </xf>
    <xf numFmtId="0" fontId="11" fillId="3" borderId="0" xfId="6" applyFont="1" applyFill="1" applyBorder="1" applyAlignment="1">
      <alignment vertical="center"/>
    </xf>
    <xf numFmtId="0" fontId="11" fillId="3" borderId="1" xfId="6" applyFont="1" applyFill="1" applyBorder="1" applyAlignment="1">
      <alignment horizontal="center" vertical="center" wrapText="1"/>
    </xf>
    <xf numFmtId="0" fontId="11" fillId="3" borderId="2" xfId="0" applyFont="1" applyFill="1" applyBorder="1" applyAlignment="1">
      <alignment horizontal="center" vertical="center" wrapText="1"/>
    </xf>
    <xf numFmtId="0" fontId="12" fillId="3" borderId="0" xfId="0" applyFont="1" applyFill="1"/>
    <xf numFmtId="0" fontId="4" fillId="4" borderId="3" xfId="6" applyFont="1" applyFill="1" applyBorder="1" applyAlignment="1">
      <alignment horizontal="right" vertical="center"/>
    </xf>
    <xf numFmtId="0" fontId="13" fillId="4" borderId="3" xfId="0" applyFont="1" applyFill="1" applyBorder="1" applyAlignment="1">
      <alignment vertical="center"/>
    </xf>
    <xf numFmtId="0" fontId="5" fillId="2" borderId="3" xfId="6" applyFont="1" applyFill="1" applyBorder="1" applyAlignment="1">
      <alignment horizontal="right" vertical="center"/>
    </xf>
    <xf numFmtId="0" fontId="10" fillId="0" borderId="3" xfId="0" applyFont="1" applyBorder="1" applyAlignment="1">
      <alignment vertical="center"/>
    </xf>
    <xf numFmtId="0" fontId="10" fillId="0" borderId="4" xfId="0" applyFont="1" applyBorder="1" applyAlignment="1">
      <alignment vertical="center"/>
    </xf>
    <xf numFmtId="0" fontId="10" fillId="3" borderId="3" xfId="0" applyFont="1" applyFill="1" applyBorder="1" applyAlignment="1">
      <alignment vertical="center"/>
    </xf>
    <xf numFmtId="0" fontId="4" fillId="6" borderId="3" xfId="6" applyFont="1" applyFill="1" applyBorder="1" applyAlignment="1">
      <alignment horizontal="right" vertical="center"/>
    </xf>
    <xf numFmtId="0" fontId="4" fillId="0" borderId="0" xfId="6" applyFont="1" applyFill="1" applyBorder="1" applyAlignment="1">
      <alignment horizontal="right" vertical="center"/>
    </xf>
    <xf numFmtId="0" fontId="13" fillId="0" borderId="0" xfId="0" applyFont="1" applyFill="1" applyBorder="1" applyAlignment="1">
      <alignment vertical="center"/>
    </xf>
    <xf numFmtId="0" fontId="10" fillId="0" borderId="0" xfId="0" applyFont="1" applyAlignment="1">
      <alignment vertical="center"/>
    </xf>
    <xf numFmtId="0" fontId="4" fillId="4" borderId="3" xfId="6" applyFont="1" applyFill="1" applyBorder="1" applyAlignment="1">
      <alignment horizontal="left" vertical="center" wrapText="1"/>
    </xf>
    <xf numFmtId="0" fontId="5" fillId="2" borderId="3" xfId="6" applyFont="1" applyFill="1" applyBorder="1" applyAlignment="1">
      <alignment horizontal="left" vertical="center" wrapText="1"/>
    </xf>
    <xf numFmtId="0" fontId="13" fillId="4" borderId="3" xfId="0" applyFont="1" applyFill="1" applyBorder="1" applyAlignment="1">
      <alignment vertical="center" wrapText="1"/>
    </xf>
    <xf numFmtId="0" fontId="4" fillId="2" borderId="3" xfId="6" applyFont="1" applyFill="1" applyBorder="1" applyAlignment="1">
      <alignment horizontal="left" vertical="center" wrapText="1"/>
    </xf>
    <xf numFmtId="0" fontId="4" fillId="6" borderId="3" xfId="6" applyFont="1" applyFill="1" applyBorder="1" applyAlignment="1">
      <alignment horizontal="left" vertical="center" wrapText="1"/>
    </xf>
    <xf numFmtId="0" fontId="4" fillId="0" borderId="0" xfId="6" applyFont="1" applyFill="1" applyBorder="1" applyAlignment="1">
      <alignment horizontal="left" vertical="center" wrapText="1"/>
    </xf>
    <xf numFmtId="0" fontId="10" fillId="0" borderId="0" xfId="0" applyFont="1" applyAlignment="1">
      <alignment wrapText="1"/>
    </xf>
    <xf numFmtId="0" fontId="14" fillId="0" borderId="0" xfId="0" applyFont="1" applyAlignment="1">
      <alignment vertical="center" wrapText="1"/>
    </xf>
    <xf numFmtId="0" fontId="6" fillId="7" borderId="1" xfId="5" applyFont="1" applyFill="1" applyBorder="1" applyAlignment="1">
      <alignment horizontal="center" vertical="center" wrapText="1"/>
    </xf>
    <xf numFmtId="0" fontId="6" fillId="7" borderId="1" xfId="6" applyFont="1" applyFill="1" applyBorder="1" applyAlignment="1">
      <alignment horizontal="center" vertical="center" wrapText="1"/>
    </xf>
    <xf numFmtId="0" fontId="15" fillId="2" borderId="0" xfId="6" applyFont="1" applyFill="1" applyBorder="1" applyAlignment="1">
      <alignment horizontal="center" vertical="center" wrapText="1"/>
    </xf>
    <xf numFmtId="0" fontId="4" fillId="2" borderId="0" xfId="6" applyFont="1" applyFill="1" applyBorder="1" applyAlignment="1">
      <alignment vertical="center" wrapText="1"/>
    </xf>
    <xf numFmtId="0" fontId="6" fillId="7" borderId="3" xfId="6" applyFont="1" applyFill="1" applyBorder="1" applyAlignment="1">
      <alignment horizontal="center" vertical="center" wrapText="1"/>
    </xf>
    <xf numFmtId="0" fontId="11" fillId="3" borderId="3" xfId="6" applyFont="1" applyFill="1" applyBorder="1" applyAlignment="1">
      <alignment horizontal="center" vertical="center" wrapText="1"/>
    </xf>
    <xf numFmtId="0" fontId="6" fillId="7" borderId="5" xfId="6" applyFont="1" applyFill="1" applyBorder="1" applyAlignment="1">
      <alignment horizontal="center" vertical="center" wrapText="1"/>
    </xf>
    <xf numFmtId="0" fontId="11" fillId="3" borderId="5" xfId="6" applyFont="1" applyFill="1" applyBorder="1" applyAlignment="1">
      <alignment horizontal="center" vertical="center" wrapText="1"/>
    </xf>
    <xf numFmtId="0" fontId="7" fillId="0" borderId="0" xfId="0" applyFont="1" applyFill="1" applyBorder="1" applyAlignment="1"/>
    <xf numFmtId="0" fontId="16" fillId="0" borderId="0" xfId="0" applyFont="1" applyFill="1"/>
    <xf numFmtId="0" fontId="17" fillId="2" borderId="0" xfId="6" applyFont="1" applyFill="1" applyBorder="1" applyAlignment="1">
      <alignment vertical="center"/>
    </xf>
    <xf numFmtId="0" fontId="18" fillId="2" borderId="0" xfId="6" applyFont="1" applyFill="1" applyBorder="1" applyAlignment="1">
      <alignment vertical="center"/>
    </xf>
    <xf numFmtId="0" fontId="18" fillId="2" borderId="0" xfId="6" applyFont="1" applyFill="1" applyBorder="1" applyAlignment="1">
      <alignment vertical="top" wrapText="1"/>
    </xf>
    <xf numFmtId="0" fontId="19" fillId="8" borderId="3" xfId="0" applyFont="1" applyFill="1" applyBorder="1" applyAlignment="1">
      <alignment horizontal="left" vertical="center"/>
    </xf>
    <xf numFmtId="0" fontId="19" fillId="8" borderId="3" xfId="0" applyFont="1" applyFill="1" applyBorder="1" applyAlignment="1">
      <alignment horizontal="right" vertical="center"/>
    </xf>
    <xf numFmtId="0" fontId="20" fillId="0" borderId="0" xfId="0" applyFont="1"/>
    <xf numFmtId="0" fontId="21" fillId="2" borderId="0" xfId="6" applyFont="1" applyFill="1" applyBorder="1" applyAlignment="1">
      <alignment horizontal="center" vertical="center"/>
    </xf>
    <xf numFmtId="0" fontId="8" fillId="3" borderId="0" xfId="0" applyFont="1" applyFill="1" applyBorder="1" applyAlignment="1">
      <alignment horizontal="center" vertical="center" wrapText="1"/>
    </xf>
    <xf numFmtId="0" fontId="8" fillId="4" borderId="3" xfId="0" applyFont="1" applyFill="1" applyBorder="1" applyAlignment="1"/>
    <xf numFmtId="0" fontId="8" fillId="4" borderId="3" xfId="0" applyFont="1" applyFill="1" applyBorder="1" applyAlignment="1">
      <alignment horizontal="right"/>
    </xf>
    <xf numFmtId="0" fontId="1" fillId="0" borderId="3" xfId="0" applyFont="1" applyFill="1" applyBorder="1" applyAlignment="1"/>
    <xf numFmtId="0" fontId="8" fillId="0" borderId="3" xfId="0" applyFont="1" applyFill="1" applyBorder="1" applyAlignment="1"/>
    <xf numFmtId="0" fontId="8" fillId="0" borderId="0" xfId="0" applyFont="1" applyFill="1" applyBorder="1" applyAlignment="1"/>
    <xf numFmtId="0" fontId="20" fillId="0" borderId="0" xfId="0" applyFont="1" applyFill="1"/>
    <xf numFmtId="0" fontId="22" fillId="0" borderId="0" xfId="0" applyFont="1" applyFill="1"/>
    <xf numFmtId="0" fontId="1" fillId="0" borderId="0" xfId="0" applyFont="1" applyFill="1" applyBorder="1" applyAlignment="1"/>
    <xf numFmtId="0" fontId="23" fillId="3" borderId="0" xfId="0" applyFont="1" applyFill="1" applyAlignment="1">
      <alignment horizontal="center" wrapText="1"/>
    </xf>
    <xf numFmtId="0" fontId="21" fillId="2" borderId="0" xfId="6" applyFont="1" applyFill="1" applyBorder="1" applyAlignment="1">
      <alignment vertical="center"/>
    </xf>
    <xf numFmtId="0" fontId="21" fillId="2" borderId="0" xfId="6" applyFont="1" applyFill="1" applyBorder="1" applyAlignment="1">
      <alignment horizontal="center" vertical="center" wrapText="1"/>
    </xf>
    <xf numFmtId="0" fontId="8" fillId="2" borderId="0" xfId="6" applyFont="1" applyFill="1" applyBorder="1" applyAlignment="1">
      <alignment vertical="top" wrapText="1"/>
    </xf>
    <xf numFmtId="0" fontId="1" fillId="0" borderId="6" xfId="0" applyFont="1" applyFill="1" applyBorder="1" applyAlignment="1"/>
    <xf numFmtId="0" fontId="8" fillId="3"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0" fillId="0" borderId="3" xfId="0" applyFont="1" applyFill="1" applyBorder="1"/>
    <xf numFmtId="49" fontId="8" fillId="4" borderId="3" xfId="0" applyNumberFormat="1" applyFont="1" applyFill="1" applyBorder="1" applyAlignment="1">
      <alignment wrapText="1"/>
    </xf>
    <xf numFmtId="0" fontId="1" fillId="0" borderId="3" xfId="0" applyFont="1" applyFill="1" applyBorder="1" applyAlignment="1">
      <alignment horizontal="right" wrapText="1"/>
    </xf>
    <xf numFmtId="49" fontId="1" fillId="0" borderId="3" xfId="0" applyNumberFormat="1" applyFont="1" applyFill="1" applyBorder="1" applyAlignment="1">
      <alignment wrapText="1"/>
    </xf>
    <xf numFmtId="0" fontId="1" fillId="0" borderId="3" xfId="0" applyFont="1" applyFill="1" applyBorder="1" applyAlignment="1">
      <alignment wrapText="1"/>
    </xf>
    <xf numFmtId="49" fontId="8" fillId="0" borderId="3" xfId="0" applyNumberFormat="1" applyFont="1" applyFill="1" applyBorder="1" applyAlignment="1">
      <alignment wrapText="1"/>
    </xf>
    <xf numFmtId="0" fontId="8" fillId="0" borderId="3" xfId="0" applyFont="1" applyFill="1" applyBorder="1" applyAlignment="1">
      <alignment wrapText="1"/>
    </xf>
    <xf numFmtId="49" fontId="8" fillId="0" borderId="3" xfId="0" applyNumberFormat="1" applyFont="1" applyFill="1" applyBorder="1" applyAlignment="1">
      <alignment horizontal="right" wrapText="1"/>
    </xf>
    <xf numFmtId="49" fontId="1" fillId="0" borderId="3" xfId="0" applyNumberFormat="1" applyFont="1" applyFill="1" applyBorder="1" applyAlignment="1">
      <alignment horizontal="right" wrapText="1"/>
    </xf>
    <xf numFmtId="0" fontId="8" fillId="0" borderId="3" xfId="0" applyFont="1" applyFill="1" applyBorder="1" applyAlignment="1">
      <alignment horizontal="right" wrapText="1"/>
    </xf>
    <xf numFmtId="0" fontId="8" fillId="0" borderId="0" xfId="0" applyFont="1" applyFill="1" applyBorder="1" applyAlignment="1">
      <alignment wrapText="1"/>
    </xf>
    <xf numFmtId="0" fontId="8" fillId="0" borderId="0" xfId="0" applyFont="1" applyFill="1" applyBorder="1" applyAlignment="1">
      <alignment horizontal="right" wrapText="1"/>
    </xf>
    <xf numFmtId="0" fontId="1" fillId="0" borderId="0" xfId="0" applyFont="1" applyFill="1" applyAlignment="1">
      <alignment wrapText="1"/>
    </xf>
    <xf numFmtId="0" fontId="20" fillId="0" borderId="0" xfId="0" applyFont="1" applyFill="1" applyAlignment="1">
      <alignment wrapText="1"/>
    </xf>
    <xf numFmtId="0" fontId="1" fillId="0" borderId="0" xfId="0" applyFont="1" applyFill="1" applyBorder="1" applyAlignment="1">
      <alignment wrapText="1"/>
    </xf>
    <xf numFmtId="0" fontId="1" fillId="0" borderId="3" xfId="0" applyFont="1" applyFill="1" applyBorder="1"/>
    <xf numFmtId="0" fontId="8" fillId="4" borderId="3" xfId="0" applyFont="1" applyFill="1" applyBorder="1" applyAlignment="1">
      <alignment wrapText="1"/>
    </xf>
    <xf numFmtId="0" fontId="1" fillId="0" borderId="3" xfId="0" applyFont="1" applyFill="1" applyBorder="1" applyAlignment="1">
      <alignment horizontal="right"/>
    </xf>
    <xf numFmtId="0" fontId="24" fillId="0" borderId="0" xfId="0" applyFont="1" applyFill="1" applyBorder="1" applyAlignment="1">
      <alignment horizontal="left" wrapText="1"/>
    </xf>
    <xf numFmtId="0" fontId="1" fillId="0" borderId="0" xfId="0" applyFont="1" applyFill="1" applyBorder="1" applyAlignment="1">
      <alignment horizontal="right" wrapText="1"/>
    </xf>
    <xf numFmtId="0" fontId="1" fillId="0" borderId="0" xfId="0" applyFont="1" applyFill="1" applyBorder="1" applyAlignment="1">
      <alignment horizontal="right"/>
    </xf>
    <xf numFmtId="4" fontId="1" fillId="0" borderId="0" xfId="0" applyNumberFormat="1" applyFont="1" applyFill="1"/>
    <xf numFmtId="0" fontId="1" fillId="0" borderId="0" xfId="0" applyFont="1" applyFill="1"/>
    <xf numFmtId="0" fontId="8" fillId="0" borderId="0" xfId="0" applyFont="1" applyFill="1" applyBorder="1" applyAlignment="1">
      <alignment horizontal="center"/>
    </xf>
    <xf numFmtId="0" fontId="20" fillId="0" borderId="0" xfId="0" applyFont="1" applyFill="1" applyBorder="1" applyAlignment="1">
      <alignment horizontal="center"/>
    </xf>
    <xf numFmtId="0" fontId="20" fillId="0" borderId="0" xfId="0" applyFont="1" applyFill="1" applyBorder="1" applyAlignment="1">
      <alignment wrapText="1"/>
    </xf>
    <xf numFmtId="0" fontId="1" fillId="0" borderId="0" xfId="0" applyFont="1" applyFill="1" applyBorder="1"/>
    <xf numFmtId="0" fontId="8" fillId="0" borderId="0" xfId="0" applyFont="1" applyFill="1" applyBorder="1" applyAlignment="1">
      <alignment horizontal="center" wrapText="1"/>
    </xf>
    <xf numFmtId="0" fontId="8" fillId="0" borderId="0" xfId="0" applyFont="1" applyFill="1" applyBorder="1" applyAlignment="1">
      <alignment horizontal="center" vertical="center" wrapText="1"/>
    </xf>
    <xf numFmtId="0" fontId="20" fillId="0" borderId="0" xfId="0" applyFont="1" applyFill="1" applyAlignment="1">
      <alignment horizontal="right" wrapText="1"/>
    </xf>
    <xf numFmtId="0" fontId="19" fillId="10" borderId="7" xfId="0" applyFont="1" applyFill="1" applyBorder="1" applyAlignment="1">
      <alignment horizontal="left" vertical="center"/>
    </xf>
    <xf numFmtId="0" fontId="19" fillId="10" borderId="3" xfId="0" applyFont="1" applyFill="1" applyBorder="1" applyAlignment="1">
      <alignment horizontal="right" vertical="center"/>
    </xf>
    <xf numFmtId="0" fontId="8" fillId="2" borderId="0" xfId="6" applyFont="1" applyFill="1" applyBorder="1" applyAlignment="1">
      <alignment horizontal="center" vertical="top" wrapText="1"/>
    </xf>
    <xf numFmtId="0" fontId="20" fillId="0" borderId="3" xfId="0" applyFont="1" applyBorder="1"/>
    <xf numFmtId="0" fontId="1" fillId="0" borderId="3" xfId="6" applyFont="1" applyFill="1" applyBorder="1" applyAlignment="1">
      <alignment horizontal="right"/>
    </xf>
    <xf numFmtId="0" fontId="1" fillId="0" borderId="3" xfId="6" applyFont="1" applyFill="1" applyBorder="1" applyAlignment="1">
      <alignment horizontal="right" wrapText="1"/>
    </xf>
    <xf numFmtId="0" fontId="8" fillId="4" borderId="3" xfId="6" applyFont="1" applyFill="1" applyBorder="1" applyAlignment="1">
      <alignment horizontal="right"/>
    </xf>
    <xf numFmtId="0" fontId="8" fillId="4" borderId="3" xfId="6" applyFont="1" applyFill="1" applyBorder="1" applyAlignment="1">
      <alignment wrapText="1"/>
    </xf>
    <xf numFmtId="0" fontId="8" fillId="0" borderId="3" xfId="6" applyFont="1" applyFill="1" applyBorder="1" applyAlignment="1">
      <alignment horizontal="right"/>
    </xf>
    <xf numFmtId="0" fontId="8" fillId="0" borderId="3" xfId="6" applyFont="1" applyFill="1" applyBorder="1" applyAlignment="1">
      <alignment wrapText="1"/>
    </xf>
    <xf numFmtId="0" fontId="1" fillId="0" borderId="3" xfId="6" applyFont="1" applyFill="1" applyBorder="1" applyAlignment="1">
      <alignment wrapText="1"/>
    </xf>
    <xf numFmtId="0" fontId="8" fillId="0" borderId="3" xfId="6" applyFont="1" applyFill="1" applyBorder="1" applyAlignment="1">
      <alignment horizontal="left" wrapText="1"/>
    </xf>
    <xf numFmtId="0" fontId="1" fillId="0" borderId="3" xfId="6" applyFont="1" applyFill="1" applyBorder="1" applyAlignment="1">
      <alignment horizontal="left" wrapText="1"/>
    </xf>
    <xf numFmtId="0" fontId="8" fillId="3" borderId="3" xfId="6" applyFont="1" applyFill="1" applyBorder="1" applyAlignment="1">
      <alignment horizontal="left" wrapText="1"/>
    </xf>
    <xf numFmtId="0" fontId="20" fillId="0" borderId="0" xfId="0" applyFont="1" applyFill="1" applyBorder="1"/>
    <xf numFmtId="0" fontId="20" fillId="0" borderId="0" xfId="0" applyFont="1" applyAlignment="1">
      <alignment wrapText="1"/>
    </xf>
    <xf numFmtId="0" fontId="25" fillId="8" borderId="8" xfId="0" applyFont="1" applyFill="1" applyBorder="1" applyAlignment="1">
      <alignment vertical="center"/>
    </xf>
    <xf numFmtId="0" fontId="21" fillId="3" borderId="0" xfId="6" applyFont="1" applyFill="1" applyBorder="1" applyAlignment="1">
      <alignment vertical="center"/>
    </xf>
    <xf numFmtId="0" fontId="20" fillId="2" borderId="0" xfId="0" applyFont="1" applyFill="1" applyBorder="1"/>
    <xf numFmtId="0" fontId="20" fillId="2" borderId="0" xfId="0" applyFont="1" applyFill="1"/>
    <xf numFmtId="0" fontId="15" fillId="2" borderId="0" xfId="6" applyFont="1" applyFill="1" applyBorder="1" applyAlignment="1">
      <alignment vertical="center"/>
    </xf>
    <xf numFmtId="0" fontId="15" fillId="3" borderId="0" xfId="6" applyFont="1" applyFill="1" applyBorder="1" applyAlignment="1">
      <alignment vertical="center"/>
    </xf>
    <xf numFmtId="0" fontId="8" fillId="3" borderId="0" xfId="6" applyFont="1" applyFill="1" applyBorder="1" applyAlignment="1">
      <alignment vertical="top" wrapText="1"/>
    </xf>
    <xf numFmtId="0" fontId="18" fillId="6" borderId="3" xfId="0" applyFont="1" applyFill="1" applyBorder="1"/>
    <xf numFmtId="0" fontId="23" fillId="3" borderId="3" xfId="0" applyFont="1" applyFill="1" applyBorder="1" applyAlignment="1">
      <alignment horizontal="center" vertical="center"/>
    </xf>
    <xf numFmtId="0" fontId="8" fillId="3" borderId="3" xfId="0" applyFont="1" applyFill="1" applyBorder="1"/>
    <xf numFmtId="0" fontId="8" fillId="4" borderId="8" xfId="0" applyFont="1" applyFill="1" applyBorder="1"/>
    <xf numFmtId="0" fontId="8" fillId="2" borderId="8" xfId="0" applyFont="1" applyFill="1" applyBorder="1"/>
    <xf numFmtId="0" fontId="8" fillId="3" borderId="8" xfId="0" applyFont="1" applyFill="1" applyBorder="1"/>
    <xf numFmtId="0" fontId="1" fillId="3" borderId="8" xfId="0" applyFont="1" applyFill="1" applyBorder="1" applyAlignment="1">
      <alignment horizontal="left" indent="2"/>
    </xf>
    <xf numFmtId="0" fontId="1" fillId="0" borderId="8" xfId="0" applyFont="1" applyFill="1" applyBorder="1"/>
    <xf numFmtId="0" fontId="1" fillId="0" borderId="8" xfId="0" applyFont="1" applyFill="1" applyBorder="1" applyAlignment="1">
      <alignment horizontal="left" indent="2"/>
    </xf>
    <xf numFmtId="0" fontId="1" fillId="3" borderId="3" xfId="0" applyFont="1" applyFill="1" applyBorder="1"/>
    <xf numFmtId="0" fontId="8" fillId="3" borderId="8" xfId="0" applyFont="1" applyFill="1" applyBorder="1" applyAlignment="1">
      <alignment horizontal="left" indent="2"/>
    </xf>
    <xf numFmtId="0" fontId="1" fillId="3" borderId="8" xfId="0" applyFont="1" applyFill="1" applyBorder="1"/>
    <xf numFmtId="0" fontId="20" fillId="3" borderId="3" xfId="0" applyFont="1" applyFill="1" applyBorder="1"/>
    <xf numFmtId="0" fontId="8" fillId="0" borderId="8" xfId="0" applyFont="1" applyFill="1" applyBorder="1" applyAlignment="1">
      <alignment horizontal="left" indent="2"/>
    </xf>
    <xf numFmtId="0" fontId="8" fillId="0" borderId="8" xfId="0" applyFont="1" applyFill="1" applyBorder="1"/>
    <xf numFmtId="0" fontId="8" fillId="5" borderId="8" xfId="0" applyFont="1" applyFill="1" applyBorder="1"/>
    <xf numFmtId="0" fontId="8" fillId="6" borderId="8" xfId="0" applyFont="1" applyFill="1" applyBorder="1"/>
    <xf numFmtId="0" fontId="8" fillId="0" borderId="0" xfId="0" applyFont="1" applyFill="1" applyBorder="1" applyAlignment="1">
      <alignment horizontal="right"/>
    </xf>
    <xf numFmtId="0" fontId="8" fillId="0" borderId="0" xfId="0" applyFont="1" applyFill="1" applyBorder="1"/>
    <xf numFmtId="0" fontId="20" fillId="3" borderId="0" xfId="0" applyFont="1" applyFill="1" applyBorder="1"/>
    <xf numFmtId="0" fontId="20" fillId="3" borderId="0" xfId="0" applyFont="1" applyFill="1"/>
    <xf numFmtId="0" fontId="20" fillId="2" borderId="0" xfId="0" applyFont="1" applyFill="1" applyAlignment="1">
      <alignment horizontal="right"/>
    </xf>
    <xf numFmtId="0" fontId="19" fillId="10" borderId="3" xfId="0" applyFont="1" applyFill="1" applyBorder="1" applyAlignment="1">
      <alignment horizontal="left" vertical="center"/>
    </xf>
    <xf numFmtId="0" fontId="27" fillId="2" borderId="0" xfId="6" applyFont="1" applyFill="1" applyBorder="1" applyAlignment="1">
      <alignment vertical="center"/>
    </xf>
    <xf numFmtId="0" fontId="21" fillId="2" borderId="0" xfId="6" applyFont="1" applyFill="1" applyBorder="1" applyAlignment="1">
      <alignment horizontal="left" vertical="center"/>
    </xf>
    <xf numFmtId="0" fontId="21" fillId="2" borderId="0" xfId="6" applyFont="1" applyFill="1" applyBorder="1" applyAlignment="1">
      <alignment horizontal="left" vertical="center" wrapText="1"/>
    </xf>
    <xf numFmtId="0" fontId="8" fillId="2" borderId="0" xfId="6" applyFont="1" applyFill="1" applyBorder="1" applyAlignment="1">
      <alignment horizontal="left" vertical="top" wrapText="1"/>
    </xf>
    <xf numFmtId="0" fontId="1" fillId="0" borderId="0" xfId="0" applyFont="1" applyFill="1" applyBorder="1" applyAlignment="1">
      <alignment horizontal="left"/>
    </xf>
    <xf numFmtId="0" fontId="8" fillId="2" borderId="0" xfId="6" applyFont="1" applyFill="1" applyBorder="1" applyAlignment="1">
      <alignment vertical="center"/>
    </xf>
    <xf numFmtId="0" fontId="28" fillId="2" borderId="0" xfId="6" applyFont="1" applyFill="1" applyBorder="1" applyAlignment="1">
      <alignment vertical="center"/>
    </xf>
    <xf numFmtId="0" fontId="1" fillId="0" borderId="0" xfId="0" applyFont="1" applyBorder="1" applyAlignment="1">
      <alignment horizontal="left" vertical="top" wrapText="1"/>
    </xf>
    <xf numFmtId="0" fontId="8" fillId="0" borderId="0" xfId="6" applyFont="1" applyFill="1" applyBorder="1" applyAlignment="1">
      <alignment horizontal="left" wrapText="1"/>
    </xf>
    <xf numFmtId="0" fontId="4" fillId="3" borderId="3" xfId="6" applyFont="1" applyFill="1" applyBorder="1" applyAlignment="1">
      <alignment horizontal="right" vertical="top" wrapText="1"/>
    </xf>
    <xf numFmtId="0" fontId="10" fillId="0" borderId="0" xfId="0" applyFont="1" applyAlignment="1"/>
    <xf numFmtId="49" fontId="8" fillId="4" borderId="3" xfId="0" applyNumberFormat="1" applyFont="1" applyFill="1" applyBorder="1" applyAlignment="1">
      <alignment horizontal="right" wrapText="1"/>
    </xf>
    <xf numFmtId="49" fontId="1" fillId="0" borderId="8" xfId="0" applyNumberFormat="1" applyFont="1" applyFill="1" applyBorder="1" applyAlignment="1">
      <alignment horizontal="left" indent="2"/>
    </xf>
    <xf numFmtId="0" fontId="8" fillId="2" borderId="3" xfId="0" applyFont="1" applyFill="1" applyBorder="1" applyAlignment="1">
      <alignment horizontal="center"/>
    </xf>
    <xf numFmtId="0" fontId="20" fillId="2" borderId="3" xfId="0" applyFont="1" applyFill="1" applyBorder="1" applyAlignment="1">
      <alignment horizontal="center"/>
    </xf>
    <xf numFmtId="0" fontId="26" fillId="2" borderId="3" xfId="0" applyFont="1" applyFill="1" applyBorder="1" applyAlignment="1">
      <alignment horizontal="center"/>
    </xf>
    <xf numFmtId="0" fontId="8" fillId="0" borderId="3" xfId="0" applyFont="1" applyFill="1" applyBorder="1" applyAlignment="1">
      <alignment horizontal="center"/>
    </xf>
    <xf numFmtId="0" fontId="20" fillId="0" borderId="3" xfId="0" applyFont="1" applyFill="1" applyBorder="1" applyAlignment="1">
      <alignment horizontal="center"/>
    </xf>
    <xf numFmtId="0" fontId="1" fillId="0" borderId="3" xfId="0" applyFont="1" applyFill="1" applyBorder="1" applyAlignment="1">
      <alignment horizontal="center"/>
    </xf>
    <xf numFmtId="0" fontId="26" fillId="0" borderId="3" xfId="0" applyFont="1" applyFill="1" applyBorder="1" applyAlignment="1">
      <alignment horizontal="center"/>
    </xf>
    <xf numFmtId="0" fontId="8" fillId="5" borderId="3" xfId="0" applyFont="1" applyFill="1" applyBorder="1" applyAlignment="1">
      <alignment horizontal="center"/>
    </xf>
    <xf numFmtId="0" fontId="8" fillId="6" borderId="8" xfId="0" applyFont="1" applyFill="1" applyBorder="1" applyAlignment="1">
      <alignment horizontal="center"/>
    </xf>
    <xf numFmtId="0" fontId="9" fillId="0" borderId="3" xfId="6" applyFont="1" applyFill="1" applyBorder="1" applyAlignment="1">
      <alignment wrapText="1"/>
    </xf>
    <xf numFmtId="0" fontId="8" fillId="0" borderId="8" xfId="0" applyFont="1" applyFill="1" applyBorder="1" applyAlignment="1">
      <alignment wrapText="1"/>
    </xf>
    <xf numFmtId="0" fontId="20" fillId="0" borderId="3" xfId="0" applyFont="1" applyFill="1" applyBorder="1" applyAlignment="1">
      <alignment wrapText="1"/>
    </xf>
    <xf numFmtId="0" fontId="19" fillId="8" borderId="7" xfId="0" applyFont="1" applyFill="1" applyBorder="1" applyAlignment="1">
      <alignment horizontal="left" vertical="center"/>
    </xf>
    <xf numFmtId="49" fontId="24" fillId="9" borderId="3" xfId="0" applyNumberFormat="1" applyFont="1" applyFill="1" applyBorder="1" applyAlignment="1">
      <alignment wrapText="1"/>
    </xf>
    <xf numFmtId="0" fontId="24" fillId="0" borderId="3" xfId="0" applyFont="1" applyFill="1" applyBorder="1" applyAlignment="1">
      <alignment wrapText="1"/>
    </xf>
    <xf numFmtId="0" fontId="19" fillId="10" borderId="7" xfId="0" applyFont="1" applyFill="1" applyBorder="1" applyAlignment="1">
      <alignment vertical="center"/>
    </xf>
    <xf numFmtId="0" fontId="30" fillId="0" borderId="3" xfId="0" applyFont="1" applyFill="1" applyBorder="1" applyAlignment="1">
      <alignment wrapText="1"/>
    </xf>
    <xf numFmtId="0" fontId="1" fillId="0" borderId="8" xfId="0" applyFont="1" applyFill="1" applyBorder="1" applyAlignment="1">
      <alignment wrapText="1"/>
    </xf>
    <xf numFmtId="0" fontId="8" fillId="0" borderId="8" xfId="6" applyFont="1" applyFill="1" applyBorder="1" applyAlignment="1">
      <alignment wrapText="1"/>
    </xf>
    <xf numFmtId="0" fontId="1" fillId="0" borderId="8" xfId="6" applyFont="1" applyFill="1" applyBorder="1" applyAlignment="1">
      <alignment wrapText="1"/>
    </xf>
    <xf numFmtId="0" fontId="31" fillId="0" borderId="3" xfId="0" applyFont="1" applyFill="1" applyBorder="1" applyAlignment="1"/>
    <xf numFmtId="49" fontId="24" fillId="9" borderId="3" xfId="0" applyNumberFormat="1" applyFont="1" applyFill="1" applyBorder="1" applyAlignment="1">
      <alignment horizontal="right" wrapText="1"/>
    </xf>
    <xf numFmtId="0" fontId="30" fillId="0" borderId="3" xfId="6" applyFont="1" applyFill="1" applyBorder="1" applyAlignment="1">
      <alignment horizontal="right"/>
    </xf>
    <xf numFmtId="0" fontId="30" fillId="0" borderId="3" xfId="6" applyFont="1" applyFill="1" applyBorder="1" applyAlignment="1">
      <alignment horizontal="right" wrapText="1"/>
    </xf>
    <xf numFmtId="0" fontId="19" fillId="10" borderId="3" xfId="0" applyFont="1" applyFill="1" applyBorder="1" applyAlignment="1">
      <alignment vertical="center"/>
    </xf>
    <xf numFmtId="0" fontId="19" fillId="8" borderId="9" xfId="0" applyFont="1" applyFill="1" applyBorder="1" applyAlignment="1">
      <alignment horizontal="right" vertical="center"/>
    </xf>
    <xf numFmtId="0" fontId="19" fillId="8" borderId="10" xfId="0" applyFont="1" applyFill="1" applyBorder="1" applyAlignment="1">
      <alignment horizontal="left" vertical="center"/>
    </xf>
    <xf numFmtId="0" fontId="8" fillId="0" borderId="10" xfId="0" applyFont="1" applyFill="1" applyBorder="1" applyAlignment="1">
      <alignment horizontal="center" vertical="center" wrapText="1"/>
    </xf>
    <xf numFmtId="0" fontId="8" fillId="4" borderId="12" xfId="0" applyFont="1" applyFill="1" applyBorder="1" applyAlignment="1"/>
    <xf numFmtId="49" fontId="8" fillId="0" borderId="12" xfId="0" applyNumberFormat="1" applyFont="1" applyFill="1" applyBorder="1" applyAlignment="1">
      <alignment wrapText="1"/>
    </xf>
    <xf numFmtId="0" fontId="8" fillId="4" borderId="12" xfId="0" applyFont="1" applyFill="1" applyBorder="1" applyAlignment="1">
      <alignment horizontal="right"/>
    </xf>
    <xf numFmtId="0" fontId="8" fillId="0" borderId="12" xfId="0" applyFont="1" applyFill="1" applyBorder="1" applyAlignment="1"/>
    <xf numFmtId="0" fontId="24" fillId="9" borderId="12" xfId="0" applyFont="1" applyFill="1" applyBorder="1" applyAlignment="1"/>
    <xf numFmtId="0" fontId="19" fillId="8" borderId="12" xfId="0" applyFont="1" applyFill="1" applyBorder="1" applyAlignment="1">
      <alignment horizontal="right" vertical="center"/>
    </xf>
    <xf numFmtId="0" fontId="1" fillId="0" borderId="12" xfId="0" applyFont="1" applyFill="1" applyBorder="1" applyAlignment="1"/>
    <xf numFmtId="49" fontId="8" fillId="4" borderId="12" xfId="0" applyNumberFormat="1" applyFont="1" applyFill="1" applyBorder="1" applyAlignment="1">
      <alignment horizontal="right" wrapText="1"/>
    </xf>
    <xf numFmtId="0" fontId="24" fillId="0" borderId="12" xfId="0" applyFont="1" applyFill="1" applyBorder="1" applyAlignment="1"/>
    <xf numFmtId="0" fontId="19" fillId="10" borderId="14" xfId="0" applyFont="1" applyFill="1" applyBorder="1" applyAlignment="1">
      <alignment vertical="center"/>
    </xf>
    <xf numFmtId="0" fontId="19" fillId="10" borderId="15" xfId="0" applyFont="1" applyFill="1" applyBorder="1" applyAlignment="1">
      <alignment vertical="center"/>
    </xf>
    <xf numFmtId="0" fontId="19" fillId="10" borderId="16" xfId="0" applyFont="1" applyFill="1" applyBorder="1" applyAlignment="1">
      <alignment vertical="center"/>
    </xf>
    <xf numFmtId="0" fontId="8" fillId="0" borderId="17" xfId="0" applyFont="1" applyFill="1" applyBorder="1" applyAlignment="1">
      <alignment horizontal="right" wrapText="1"/>
    </xf>
    <xf numFmtId="0" fontId="8" fillId="3" borderId="18" xfId="0" applyFont="1" applyFill="1" applyBorder="1" applyAlignment="1">
      <alignment horizontal="center" vertical="center" wrapText="1"/>
    </xf>
    <xf numFmtId="0" fontId="20" fillId="0" borderId="0" xfId="0" applyFont="1" applyBorder="1" applyAlignment="1"/>
    <xf numFmtId="0" fontId="8" fillId="0" borderId="0" xfId="0" applyFont="1" applyFill="1" applyBorder="1" applyAlignment="1">
      <alignment horizontal="center" vertical="center" wrapText="1"/>
    </xf>
    <xf numFmtId="0" fontId="1" fillId="0" borderId="0" xfId="0" applyFont="1" applyBorder="1" applyAlignment="1">
      <alignment horizontal="left" vertical="top" wrapText="1"/>
    </xf>
    <xf numFmtId="0" fontId="20" fillId="0" borderId="0" xfId="0" applyFont="1" applyBorder="1" applyAlignment="1">
      <alignment horizontal="center"/>
    </xf>
    <xf numFmtId="165" fontId="33" fillId="11" borderId="2" xfId="0" applyNumberFormat="1" applyFont="1" applyFill="1" applyBorder="1" applyAlignment="1">
      <alignment horizontal="right" vertical="top"/>
    </xf>
    <xf numFmtId="165" fontId="26" fillId="0" borderId="11" xfId="0" applyNumberFormat="1" applyFont="1" applyFill="1" applyBorder="1"/>
    <xf numFmtId="0" fontId="8" fillId="3" borderId="20" xfId="0" applyFont="1" applyFill="1" applyBorder="1" applyAlignment="1">
      <alignment horizontal="center" vertical="center" wrapText="1"/>
    </xf>
    <xf numFmtId="0" fontId="8" fillId="3" borderId="21" xfId="0" applyFont="1" applyFill="1" applyBorder="1" applyAlignment="1">
      <alignment horizontal="center" vertical="center" wrapText="1"/>
    </xf>
    <xf numFmtId="165" fontId="20" fillId="11" borderId="2" xfId="0" applyNumberFormat="1" applyFont="1" applyFill="1" applyBorder="1" applyAlignment="1">
      <alignment horizontal="right" vertical="top"/>
    </xf>
    <xf numFmtId="166" fontId="20" fillId="0" borderId="22" xfId="7" applyNumberFormat="1" applyFont="1" applyFill="1" applyBorder="1"/>
    <xf numFmtId="43" fontId="20" fillId="0" borderId="13" xfId="7" applyFont="1" applyFill="1" applyBorder="1"/>
    <xf numFmtId="166" fontId="20" fillId="11" borderId="2" xfId="0" applyNumberFormat="1" applyFont="1" applyFill="1" applyBorder="1" applyAlignment="1">
      <alignment horizontal="right" vertical="top"/>
    </xf>
    <xf numFmtId="166" fontId="20" fillId="0" borderId="13" xfId="7" applyNumberFormat="1" applyFont="1" applyFill="1" applyBorder="1"/>
    <xf numFmtId="43" fontId="20" fillId="0" borderId="3" xfId="7" applyFont="1" applyFill="1" applyBorder="1"/>
    <xf numFmtId="166" fontId="26" fillId="0" borderId="11" xfId="7" applyNumberFormat="1" applyFont="1" applyFill="1" applyBorder="1"/>
    <xf numFmtId="165" fontId="20" fillId="11" borderId="3" xfId="0" applyNumberFormat="1" applyFont="1" applyFill="1" applyBorder="1" applyAlignment="1">
      <alignment horizontal="right" vertical="top"/>
    </xf>
    <xf numFmtId="165" fontId="26" fillId="11" borderId="2" xfId="0" applyNumberFormat="1" applyFont="1" applyFill="1" applyBorder="1" applyAlignment="1">
      <alignment horizontal="right" vertical="top"/>
    </xf>
    <xf numFmtId="165" fontId="1" fillId="0" borderId="3" xfId="0" applyNumberFormat="1" applyFont="1" applyFill="1" applyBorder="1" applyAlignment="1">
      <alignment wrapText="1"/>
    </xf>
    <xf numFmtId="49" fontId="35" fillId="4" borderId="3" xfId="0" applyNumberFormat="1" applyFont="1" applyFill="1" applyBorder="1" applyAlignment="1">
      <alignment wrapText="1"/>
    </xf>
    <xf numFmtId="165" fontId="26" fillId="0" borderId="3" xfId="0" applyNumberFormat="1" applyFont="1" applyFill="1" applyBorder="1"/>
    <xf numFmtId="43" fontId="20" fillId="11" borderId="2" xfId="7" applyFont="1" applyFill="1" applyBorder="1" applyAlignment="1">
      <alignment horizontal="right" vertical="top"/>
    </xf>
    <xf numFmtId="166" fontId="26" fillId="0" borderId="3" xfId="7" applyNumberFormat="1" applyFont="1" applyFill="1" applyBorder="1"/>
    <xf numFmtId="0" fontId="36" fillId="0" borderId="0" xfId="0" applyFont="1" applyFill="1" applyBorder="1" applyAlignment="1"/>
    <xf numFmtId="165" fontId="29" fillId="11" borderId="2" xfId="0" applyNumberFormat="1" applyFont="1" applyFill="1" applyBorder="1" applyAlignment="1">
      <alignment horizontal="right" vertical="top"/>
    </xf>
    <xf numFmtId="166" fontId="1" fillId="0" borderId="3" xfId="7" applyNumberFormat="1" applyFont="1" applyFill="1" applyBorder="1"/>
    <xf numFmtId="165" fontId="8" fillId="0" borderId="3" xfId="0" applyNumberFormat="1" applyFont="1" applyFill="1" applyBorder="1" applyAlignment="1">
      <alignment horizontal="right"/>
    </xf>
    <xf numFmtId="166" fontId="8" fillId="0" borderId="3" xfId="7" applyNumberFormat="1" applyFont="1" applyFill="1" applyBorder="1" applyAlignment="1">
      <alignment vertical="top"/>
    </xf>
    <xf numFmtId="166" fontId="1" fillId="0" borderId="3" xfId="7" applyNumberFormat="1" applyFont="1" applyFill="1" applyBorder="1" applyAlignment="1">
      <alignment vertical="top"/>
    </xf>
    <xf numFmtId="166" fontId="8" fillId="0" borderId="3" xfId="7" applyNumberFormat="1" applyFont="1" applyFill="1" applyBorder="1"/>
    <xf numFmtId="165" fontId="8" fillId="0" borderId="3" xfId="0" applyNumberFormat="1" applyFont="1" applyFill="1" applyBorder="1" applyAlignment="1"/>
    <xf numFmtId="43" fontId="1" fillId="0" borderId="3" xfId="7" applyFont="1" applyFill="1" applyBorder="1" applyAlignment="1">
      <alignment horizontal="right"/>
    </xf>
    <xf numFmtId="166" fontId="8" fillId="0" borderId="3" xfId="0" applyNumberFormat="1" applyFont="1" applyFill="1" applyBorder="1" applyAlignment="1">
      <alignment horizontal="right"/>
    </xf>
    <xf numFmtId="166" fontId="26" fillId="0" borderId="3" xfId="0" applyNumberFormat="1" applyFont="1" applyFill="1" applyBorder="1"/>
    <xf numFmtId="166" fontId="8" fillId="0" borderId="0" xfId="7" applyNumberFormat="1" applyFont="1" applyFill="1" applyBorder="1" applyAlignment="1">
      <alignment vertical="top"/>
    </xf>
    <xf numFmtId="0" fontId="25" fillId="8" borderId="8" xfId="0" applyFont="1" applyFill="1" applyBorder="1" applyAlignment="1">
      <alignment horizontal="center" vertical="center" wrapText="1"/>
    </xf>
    <xf numFmtId="0" fontId="4" fillId="2" borderId="0" xfId="6" applyFont="1" applyFill="1" applyBorder="1" applyAlignment="1">
      <alignment vertical="top" wrapText="1"/>
    </xf>
    <xf numFmtId="166" fontId="8" fillId="4" borderId="3" xfId="7" applyNumberFormat="1" applyFont="1" applyFill="1" applyBorder="1" applyAlignment="1">
      <alignment vertical="top"/>
    </xf>
    <xf numFmtId="166" fontId="8" fillId="5" borderId="3" xfId="7" applyNumberFormat="1" applyFont="1" applyFill="1" applyBorder="1" applyAlignment="1">
      <alignment vertical="top"/>
    </xf>
    <xf numFmtId="0" fontId="37" fillId="2" borderId="3" xfId="6" applyFont="1" applyFill="1" applyBorder="1" applyAlignment="1">
      <alignment horizontal="left" vertical="center" wrapText="1"/>
    </xf>
    <xf numFmtId="166" fontId="8" fillId="3" borderId="3" xfId="7" applyNumberFormat="1" applyFont="1" applyFill="1" applyBorder="1" applyAlignment="1">
      <alignment vertical="top"/>
    </xf>
    <xf numFmtId="166" fontId="26" fillId="6" borderId="3" xfId="0" applyNumberFormat="1" applyFont="1" applyFill="1" applyBorder="1" applyAlignment="1">
      <alignment vertical="center"/>
    </xf>
    <xf numFmtId="0" fontId="38" fillId="2" borderId="3" xfId="6" applyFont="1" applyFill="1" applyBorder="1" applyAlignment="1">
      <alignment horizontal="left" vertical="center" wrapText="1"/>
    </xf>
    <xf numFmtId="166" fontId="13" fillId="0" borderId="0" xfId="0" applyNumberFormat="1" applyFont="1" applyFill="1" applyBorder="1" applyAlignment="1">
      <alignment vertical="center"/>
    </xf>
    <xf numFmtId="0" fontId="39" fillId="2" borderId="0" xfId="6" applyFont="1" applyFill="1" applyBorder="1" applyAlignment="1">
      <alignment vertical="center"/>
    </xf>
    <xf numFmtId="166" fontId="8" fillId="3" borderId="3" xfId="7" applyNumberFormat="1" applyFont="1" applyFill="1" applyBorder="1"/>
    <xf numFmtId="166" fontId="1" fillId="3" borderId="3" xfId="7" applyNumberFormat="1" applyFont="1" applyFill="1" applyBorder="1"/>
    <xf numFmtId="166" fontId="1" fillId="3" borderId="1" xfId="7" applyNumberFormat="1" applyFont="1" applyFill="1" applyBorder="1"/>
    <xf numFmtId="43" fontId="1" fillId="3" borderId="1" xfId="7" applyFont="1" applyFill="1" applyBorder="1"/>
    <xf numFmtId="166" fontId="8" fillId="3" borderId="19" xfId="0" applyNumberFormat="1" applyFont="1" applyFill="1" applyBorder="1"/>
    <xf numFmtId="0" fontId="1" fillId="3" borderId="2" xfId="0" applyFont="1" applyFill="1" applyBorder="1"/>
    <xf numFmtId="43" fontId="1" fillId="3" borderId="3" xfId="7" applyFont="1" applyFill="1" applyBorder="1"/>
    <xf numFmtId="0" fontId="40" fillId="0" borderId="8" xfId="0" applyFont="1" applyFill="1" applyBorder="1" applyAlignment="1">
      <alignment horizontal="left" indent="2"/>
    </xf>
    <xf numFmtId="166" fontId="1" fillId="3" borderId="3" xfId="0" applyNumberFormat="1" applyFont="1" applyFill="1" applyBorder="1"/>
    <xf numFmtId="0" fontId="1" fillId="0" borderId="0" xfId="0" applyFont="1" applyBorder="1" applyAlignment="1">
      <alignment vertical="top" wrapText="1"/>
    </xf>
    <xf numFmtId="0" fontId="1" fillId="0" borderId="0" xfId="0" applyFont="1"/>
    <xf numFmtId="0" fontId="1" fillId="2" borderId="0" xfId="0" applyFont="1" applyFill="1" applyBorder="1"/>
    <xf numFmtId="0" fontId="1" fillId="2" borderId="0" xfId="0" applyFont="1" applyFill="1"/>
    <xf numFmtId="0" fontId="8" fillId="2" borderId="3" xfId="0" applyFont="1" applyFill="1" applyBorder="1" applyAlignment="1"/>
    <xf numFmtId="166" fontId="8" fillId="3" borderId="3" xfId="0" applyNumberFormat="1" applyFont="1" applyFill="1" applyBorder="1"/>
    <xf numFmtId="0" fontId="1" fillId="2" borderId="3" xfId="0" applyFont="1" applyFill="1" applyBorder="1"/>
    <xf numFmtId="0" fontId="1" fillId="0" borderId="3" xfId="0" applyFont="1" applyBorder="1"/>
    <xf numFmtId="166" fontId="1" fillId="2" borderId="3" xfId="0" applyNumberFormat="1" applyFont="1" applyFill="1" applyBorder="1"/>
    <xf numFmtId="166" fontId="1" fillId="2" borderId="0" xfId="7" applyNumberFormat="1" applyFont="1" applyFill="1" applyBorder="1"/>
    <xf numFmtId="0" fontId="41" fillId="0" borderId="0" xfId="0" applyFont="1" applyFill="1"/>
    <xf numFmtId="0" fontId="42" fillId="0" borderId="0" xfId="0" applyFont="1" applyBorder="1" applyAlignment="1">
      <alignment horizontal="center" vertical="center"/>
    </xf>
    <xf numFmtId="0" fontId="0" fillId="0" borderId="0" xfId="0" applyBorder="1"/>
    <xf numFmtId="0" fontId="43" fillId="0" borderId="0" xfId="0" applyFont="1" applyBorder="1" applyAlignment="1">
      <alignment horizontal="center" vertical="center"/>
    </xf>
    <xf numFmtId="0" fontId="13" fillId="0" borderId="0" xfId="0" applyFont="1" applyBorder="1" applyAlignment="1">
      <alignment horizontal="center" vertical="center"/>
    </xf>
    <xf numFmtId="0" fontId="42" fillId="0" borderId="0" xfId="0" applyFont="1" applyBorder="1" applyAlignment="1">
      <alignment horizontal="left" vertical="center" indent="4"/>
    </xf>
    <xf numFmtId="0" fontId="44" fillId="0" borderId="0" xfId="0" applyFont="1" applyBorder="1" applyAlignment="1">
      <alignment horizontal="left" vertical="center" indent="9"/>
    </xf>
    <xf numFmtId="0" fontId="42" fillId="0" borderId="0" xfId="0" applyFont="1" applyBorder="1" applyAlignment="1">
      <alignment vertical="center"/>
    </xf>
    <xf numFmtId="0" fontId="1" fillId="0" borderId="3" xfId="0" applyFont="1" applyFill="1" applyBorder="1" applyAlignment="1">
      <alignment vertical="center" wrapText="1"/>
    </xf>
    <xf numFmtId="0" fontId="1" fillId="0" borderId="0" xfId="0" applyFont="1" applyFill="1" applyBorder="1" applyAlignment="1">
      <alignment horizontal="left" wrapText="1"/>
    </xf>
    <xf numFmtId="0" fontId="1" fillId="0" borderId="0" xfId="0" applyFont="1" applyBorder="1" applyAlignment="1">
      <alignment horizontal="left" vertical="top" wrapText="1"/>
    </xf>
    <xf numFmtId="0" fontId="8" fillId="0" borderId="0" xfId="0" applyFont="1" applyFill="1" applyBorder="1" applyAlignment="1">
      <alignment horizontal="center" vertical="center" wrapText="1"/>
    </xf>
    <xf numFmtId="0" fontId="5" fillId="0" borderId="0" xfId="0" applyFont="1" applyBorder="1" applyAlignment="1">
      <alignment horizontal="left" vertical="top" wrapText="1"/>
    </xf>
    <xf numFmtId="0" fontId="25" fillId="8" borderId="8" xfId="0" applyFont="1" applyFill="1" applyBorder="1" applyAlignment="1">
      <alignment horizontal="center" vertical="center"/>
    </xf>
    <xf numFmtId="0" fontId="25" fillId="8" borderId="7" xfId="0" applyFont="1" applyFill="1" applyBorder="1" applyAlignment="1">
      <alignment horizontal="center" vertical="center"/>
    </xf>
    <xf numFmtId="0" fontId="25" fillId="8" borderId="4" xfId="0" applyFont="1" applyFill="1" applyBorder="1" applyAlignment="1">
      <alignment horizontal="center" vertical="center"/>
    </xf>
    <xf numFmtId="0" fontId="29" fillId="6" borderId="3" xfId="0" applyFont="1" applyFill="1" applyBorder="1" applyAlignment="1">
      <alignment horizontal="center" vertical="center" wrapText="1"/>
    </xf>
    <xf numFmtId="0" fontId="20" fillId="0" borderId="0" xfId="0" applyFont="1" applyBorder="1" applyAlignment="1">
      <alignment horizontal="center"/>
    </xf>
  </cellXfs>
  <cellStyles count="8">
    <cellStyle name="Millares" xfId="7" builtinId="3"/>
    <cellStyle name="Millares 2" xfId="1"/>
    <cellStyle name="Millares 3" xfId="2"/>
    <cellStyle name="Normal" xfId="0" builtinId="0"/>
    <cellStyle name="Normal 2" xfId="3"/>
    <cellStyle name="Normal 2 2" xfId="4"/>
    <cellStyle name="Normal 2 3" xfId="5"/>
    <cellStyle name="Normal 3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0.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1.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6350</xdr:rowOff>
    </xdr:from>
    <xdr:to>
      <xdr:col>0</xdr:col>
      <xdr:colOff>5798820</xdr:colOff>
      <xdr:row>6</xdr:row>
      <xdr:rowOff>110491</xdr:rowOff>
    </xdr:to>
    <xdr:pic>
      <xdr:nvPicPr>
        <xdr:cNvPr id="2" name="Picture 10"/>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350"/>
          <a:ext cx="5798819" cy="1292861"/>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1</xdr:colOff>
      <xdr:row>0</xdr:row>
      <xdr:rowOff>6350</xdr:rowOff>
    </xdr:from>
    <xdr:to>
      <xdr:col>0</xdr:col>
      <xdr:colOff>5798820</xdr:colOff>
      <xdr:row>6</xdr:row>
      <xdr:rowOff>110491</xdr:rowOff>
    </xdr:to>
    <xdr:pic>
      <xdr:nvPicPr>
        <xdr:cNvPr id="2" name="Picture 10"/>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350"/>
          <a:ext cx="5798819" cy="1292861"/>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742950</xdr:colOff>
      <xdr:row>4</xdr:row>
      <xdr:rowOff>28575</xdr:rowOff>
    </xdr:to>
    <xdr:pic>
      <xdr:nvPicPr>
        <xdr:cNvPr id="2"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6295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48</xdr:row>
      <xdr:rowOff>0</xdr:rowOff>
    </xdr:from>
    <xdr:to>
      <xdr:col>6</xdr:col>
      <xdr:colOff>231914</xdr:colOff>
      <xdr:row>51</xdr:row>
      <xdr:rowOff>66676</xdr:rowOff>
    </xdr:to>
    <xdr:pic>
      <xdr:nvPicPr>
        <xdr:cNvPr id="3" name="7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8481060"/>
          <a:ext cx="8196719" cy="5695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5</xdr:col>
      <xdr:colOff>1047749</xdr:colOff>
      <xdr:row>4</xdr:row>
      <xdr:rowOff>28575</xdr:rowOff>
    </xdr:to>
    <xdr:pic>
      <xdr:nvPicPr>
        <xdr:cNvPr id="4"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34324"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5</xdr:col>
      <xdr:colOff>0</xdr:colOff>
      <xdr:row>3</xdr:row>
      <xdr:rowOff>381000</xdr:rowOff>
    </xdr:to>
    <xdr:pic>
      <xdr:nvPicPr>
        <xdr:cNvPr id="1980"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
          <a:ext cx="8026400" cy="869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117</xdr:row>
      <xdr:rowOff>123825</xdr:rowOff>
    </xdr:from>
    <xdr:to>
      <xdr:col>5</xdr:col>
      <xdr:colOff>286808</xdr:colOff>
      <xdr:row>121</xdr:row>
      <xdr:rowOff>38099</xdr:rowOff>
    </xdr:to>
    <xdr:pic>
      <xdr:nvPicPr>
        <xdr:cNvPr id="1981" name="8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9078575"/>
          <a:ext cx="81057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19050</xdr:rowOff>
    </xdr:from>
    <xdr:to>
      <xdr:col>3</xdr:col>
      <xdr:colOff>557954</xdr:colOff>
      <xdr:row>3</xdr:row>
      <xdr:rowOff>381000</xdr:rowOff>
    </xdr:to>
    <xdr:pic>
      <xdr:nvPicPr>
        <xdr:cNvPr id="4" name="Picture 16"/>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19050"/>
          <a:ext cx="6461760" cy="8648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5</xdr:col>
      <xdr:colOff>1</xdr:colOff>
      <xdr:row>4</xdr:row>
      <xdr:rowOff>47625</xdr:rowOff>
    </xdr:to>
    <xdr:pic>
      <xdr:nvPicPr>
        <xdr:cNvPr id="18336"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7208520" cy="718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80</xdr:row>
      <xdr:rowOff>0</xdr:rowOff>
    </xdr:from>
    <xdr:to>
      <xdr:col>5</xdr:col>
      <xdr:colOff>168520</xdr:colOff>
      <xdr:row>83</xdr:row>
      <xdr:rowOff>85725</xdr:rowOff>
    </xdr:to>
    <xdr:pic>
      <xdr:nvPicPr>
        <xdr:cNvPr id="18337" name="7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3544550"/>
          <a:ext cx="71818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xdr:colOff>
      <xdr:row>0</xdr:row>
      <xdr:rowOff>0</xdr:rowOff>
    </xdr:from>
    <xdr:to>
      <xdr:col>4</xdr:col>
      <xdr:colOff>480061</xdr:colOff>
      <xdr:row>4</xdr:row>
      <xdr:rowOff>47625</xdr:rowOff>
    </xdr:to>
    <xdr:pic>
      <xdr:nvPicPr>
        <xdr:cNvPr id="4"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6560820" cy="7181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917714</xdr:colOff>
      <xdr:row>4</xdr:row>
      <xdr:rowOff>28575</xdr:rowOff>
    </xdr:to>
    <xdr:pic>
      <xdr:nvPicPr>
        <xdr:cNvPr id="20384"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81950"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48</xdr:row>
      <xdr:rowOff>0</xdr:rowOff>
    </xdr:from>
    <xdr:to>
      <xdr:col>5</xdr:col>
      <xdr:colOff>927239</xdr:colOff>
      <xdr:row>51</xdr:row>
      <xdr:rowOff>66676</xdr:rowOff>
    </xdr:to>
    <xdr:pic>
      <xdr:nvPicPr>
        <xdr:cNvPr id="20385" name="7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7810500"/>
          <a:ext cx="79914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5</xdr:col>
      <xdr:colOff>1060174</xdr:colOff>
      <xdr:row>4</xdr:row>
      <xdr:rowOff>28575</xdr:rowOff>
    </xdr:to>
    <xdr:pic>
      <xdr:nvPicPr>
        <xdr:cNvPr id="4"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335617" cy="6911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0</xdr:row>
          <xdr:rowOff>0</xdr:rowOff>
        </xdr:from>
        <xdr:to>
          <xdr:col>2</xdr:col>
          <xdr:colOff>6350</xdr:colOff>
          <xdr:row>0</xdr:row>
          <xdr:rowOff>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0</xdr:colOff>
      <xdr:row>0</xdr:row>
      <xdr:rowOff>0</xdr:rowOff>
    </xdr:from>
    <xdr:to>
      <xdr:col>13</xdr:col>
      <xdr:colOff>328332</xdr:colOff>
      <xdr:row>5</xdr:row>
      <xdr:rowOff>38100</xdr:rowOff>
    </xdr:to>
    <xdr:pic>
      <xdr:nvPicPr>
        <xdr:cNvPr id="3862" name="Picture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201525"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31</xdr:row>
      <xdr:rowOff>0</xdr:rowOff>
    </xdr:from>
    <xdr:to>
      <xdr:col>13</xdr:col>
      <xdr:colOff>337857</xdr:colOff>
      <xdr:row>34</xdr:row>
      <xdr:rowOff>19050</xdr:rowOff>
    </xdr:to>
    <xdr:pic>
      <xdr:nvPicPr>
        <xdr:cNvPr id="3863" name="1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6791325"/>
          <a:ext cx="122015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13</xdr:col>
      <xdr:colOff>317574</xdr:colOff>
      <xdr:row>5</xdr:row>
      <xdr:rowOff>38100</xdr:rowOff>
    </xdr:to>
    <xdr:pic>
      <xdr:nvPicPr>
        <xdr:cNvPr id="5" name="Picture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535572"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5</xdr:col>
      <xdr:colOff>0</xdr:colOff>
      <xdr:row>3</xdr:row>
      <xdr:rowOff>152401</xdr:rowOff>
    </xdr:to>
    <xdr:pic>
      <xdr:nvPicPr>
        <xdr:cNvPr id="4888"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
          <a:ext cx="8056418" cy="6511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103909</xdr:colOff>
      <xdr:row>119</xdr:row>
      <xdr:rowOff>27709</xdr:rowOff>
    </xdr:from>
    <xdr:to>
      <xdr:col>4</xdr:col>
      <xdr:colOff>756804</xdr:colOff>
      <xdr:row>122</xdr:row>
      <xdr:rowOff>103909</xdr:rowOff>
    </xdr:to>
    <xdr:pic>
      <xdr:nvPicPr>
        <xdr:cNvPr id="5" name="8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3909" y="19458709"/>
          <a:ext cx="7663295" cy="5749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xdr:colOff>
      <xdr:row>0</xdr:row>
      <xdr:rowOff>6350</xdr:rowOff>
    </xdr:from>
    <xdr:to>
      <xdr:col>0</xdr:col>
      <xdr:colOff>5798820</xdr:colOff>
      <xdr:row>6</xdr:row>
      <xdr:rowOff>110491</xdr:rowOff>
    </xdr:to>
    <xdr:pic>
      <xdr:nvPicPr>
        <xdr:cNvPr id="2" name="Picture 10"/>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350"/>
          <a:ext cx="5798819" cy="129286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2</xdr:col>
      <xdr:colOff>702945</xdr:colOff>
      <xdr:row>4</xdr:row>
      <xdr:rowOff>0</xdr:rowOff>
    </xdr:to>
    <xdr:pic>
      <xdr:nvPicPr>
        <xdr:cNvPr id="24819"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
          <a:ext cx="60769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xdr:colOff>
      <xdr:row>109</xdr:row>
      <xdr:rowOff>104775</xdr:rowOff>
    </xdr:from>
    <xdr:to>
      <xdr:col>2</xdr:col>
      <xdr:colOff>712470</xdr:colOff>
      <xdr:row>113</xdr:row>
      <xdr:rowOff>19050</xdr:rowOff>
    </xdr:to>
    <xdr:pic>
      <xdr:nvPicPr>
        <xdr:cNvPr id="24820" name="8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25" y="18916650"/>
          <a:ext cx="60769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855785</xdr:colOff>
      <xdr:row>4</xdr:row>
      <xdr:rowOff>47625</xdr:rowOff>
    </xdr:to>
    <xdr:pic>
      <xdr:nvPicPr>
        <xdr:cNvPr id="25841" name="Picture 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0"/>
          <a:ext cx="6623538" cy="7275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76</xdr:row>
      <xdr:rowOff>169984</xdr:rowOff>
    </xdr:from>
    <xdr:to>
      <xdr:col>3</xdr:col>
      <xdr:colOff>11723</xdr:colOff>
      <xdr:row>80</xdr:row>
      <xdr:rowOff>76200</xdr:rowOff>
    </xdr:to>
    <xdr:pic>
      <xdr:nvPicPr>
        <xdr:cNvPr id="25842" name="8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13710138"/>
          <a:ext cx="6688015" cy="586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7.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showGridLines="0" tabSelected="1" zoomScaleNormal="100" workbookViewId="0">
      <selection activeCell="A10" sqref="A10"/>
    </sheetView>
  </sheetViews>
  <sheetFormatPr baseColWidth="10" defaultColWidth="10.90625" defaultRowHeight="14.5" x14ac:dyDescent="0.35"/>
  <cols>
    <col min="1" max="1" width="84.6328125" style="255" customWidth="1"/>
    <col min="2" max="16384" width="10.90625" style="255"/>
  </cols>
  <sheetData>
    <row r="1" spans="1:1" ht="15.5" x14ac:dyDescent="0.35">
      <c r="A1" s="254"/>
    </row>
    <row r="2" spans="1:1" ht="15.5" x14ac:dyDescent="0.35">
      <c r="A2" s="254"/>
    </row>
    <row r="3" spans="1:1" ht="15.5" x14ac:dyDescent="0.35">
      <c r="A3" s="254"/>
    </row>
    <row r="4" spans="1:1" ht="15.5" x14ac:dyDescent="0.35">
      <c r="A4" s="254"/>
    </row>
    <row r="5" spans="1:1" ht="15.5" x14ac:dyDescent="0.35">
      <c r="A5" s="254"/>
    </row>
    <row r="6" spans="1:1" ht="15.5" x14ac:dyDescent="0.35">
      <c r="A6" s="254"/>
    </row>
    <row r="7" spans="1:1" ht="15.5" x14ac:dyDescent="0.35">
      <c r="A7" s="254"/>
    </row>
    <row r="8" spans="1:1" ht="15.5" x14ac:dyDescent="0.35">
      <c r="A8" s="254"/>
    </row>
    <row r="9" spans="1:1" ht="15.5" x14ac:dyDescent="0.35">
      <c r="A9" s="254" t="s">
        <v>315</v>
      </c>
    </row>
    <row r="10" spans="1:1" ht="15.5" x14ac:dyDescent="0.35">
      <c r="A10" s="254" t="s">
        <v>322</v>
      </c>
    </row>
    <row r="11" spans="1:1" ht="15.5" x14ac:dyDescent="0.35">
      <c r="A11" s="254" t="s">
        <v>319</v>
      </c>
    </row>
    <row r="12" spans="1:1" ht="15.5" x14ac:dyDescent="0.35">
      <c r="A12" s="256"/>
    </row>
    <row r="13" spans="1:1" x14ac:dyDescent="0.35">
      <c r="A13" s="257" t="s">
        <v>318</v>
      </c>
    </row>
    <row r="14" spans="1:1" ht="15.5" x14ac:dyDescent="0.35">
      <c r="A14" s="256"/>
    </row>
    <row r="15" spans="1:1" ht="15.5" x14ac:dyDescent="0.35">
      <c r="A15" s="256"/>
    </row>
    <row r="16" spans="1:1" ht="15.5" x14ac:dyDescent="0.35">
      <c r="A16" s="254" t="s">
        <v>316</v>
      </c>
    </row>
    <row r="17" spans="1:1" ht="15.5" x14ac:dyDescent="0.35">
      <c r="A17" s="254"/>
    </row>
    <row r="18" spans="1:1" ht="15.5" x14ac:dyDescent="0.35">
      <c r="A18" s="258"/>
    </row>
    <row r="19" spans="1:1" ht="15.5" x14ac:dyDescent="0.35">
      <c r="A19" s="254" t="s">
        <v>320</v>
      </c>
    </row>
    <row r="20" spans="1:1" ht="15.5" x14ac:dyDescent="0.35">
      <c r="A20" s="258"/>
    </row>
    <row r="21" spans="1:1" ht="15.5" x14ac:dyDescent="0.35">
      <c r="A21" s="259"/>
    </row>
    <row r="22" spans="1:1" ht="15.5" x14ac:dyDescent="0.35">
      <c r="A22" s="259"/>
    </row>
    <row r="23" spans="1:1" ht="15.5" x14ac:dyDescent="0.35">
      <c r="A23" s="258"/>
    </row>
    <row r="24" spans="1:1" ht="15.5" x14ac:dyDescent="0.35">
      <c r="A24" s="258"/>
    </row>
    <row r="25" spans="1:1" ht="15.5" x14ac:dyDescent="0.35">
      <c r="A25" s="260"/>
    </row>
    <row r="26" spans="1:1" ht="15.5" x14ac:dyDescent="0.35">
      <c r="A26" s="260"/>
    </row>
    <row r="27" spans="1:1" x14ac:dyDescent="0.35">
      <c r="A27" s="257"/>
    </row>
    <row r="28" spans="1:1" x14ac:dyDescent="0.35">
      <c r="A28" s="257"/>
    </row>
    <row r="29" spans="1:1" x14ac:dyDescent="0.35">
      <c r="A29" s="257"/>
    </row>
    <row r="30" spans="1:1" x14ac:dyDescent="0.35">
      <c r="A30" s="257"/>
    </row>
    <row r="31" spans="1:1" x14ac:dyDescent="0.35">
      <c r="A31" s="257"/>
    </row>
    <row r="32" spans="1:1" x14ac:dyDescent="0.35">
      <c r="A32" s="257"/>
    </row>
    <row r="33" spans="1:1" x14ac:dyDescent="0.35">
      <c r="A33" s="257"/>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showGridLines="0" topLeftCell="A10" zoomScaleNormal="100" workbookViewId="0">
      <selection activeCell="A10" sqref="A10"/>
    </sheetView>
  </sheetViews>
  <sheetFormatPr baseColWidth="10" defaultColWidth="10.90625" defaultRowHeight="14.5" x14ac:dyDescent="0.35"/>
  <cols>
    <col min="1" max="1" width="84.6328125" style="255" customWidth="1"/>
    <col min="2" max="16384" width="10.90625" style="255"/>
  </cols>
  <sheetData>
    <row r="1" spans="1:1" ht="15.5" x14ac:dyDescent="0.35">
      <c r="A1" s="254"/>
    </row>
    <row r="2" spans="1:1" ht="15.5" x14ac:dyDescent="0.35">
      <c r="A2" s="254"/>
    </row>
    <row r="3" spans="1:1" ht="15.5" x14ac:dyDescent="0.35">
      <c r="A3" s="254"/>
    </row>
    <row r="4" spans="1:1" ht="15.5" x14ac:dyDescent="0.35">
      <c r="A4" s="254"/>
    </row>
    <row r="5" spans="1:1" ht="15.5" x14ac:dyDescent="0.35">
      <c r="A5" s="254"/>
    </row>
    <row r="6" spans="1:1" ht="15.5" x14ac:dyDescent="0.35">
      <c r="A6" s="254"/>
    </row>
    <row r="7" spans="1:1" ht="15.5" x14ac:dyDescent="0.35">
      <c r="A7" s="254"/>
    </row>
    <row r="8" spans="1:1" ht="15.5" x14ac:dyDescent="0.35">
      <c r="A8" s="254"/>
    </row>
    <row r="9" spans="1:1" ht="15.5" x14ac:dyDescent="0.35">
      <c r="A9" s="254" t="s">
        <v>315</v>
      </c>
    </row>
    <row r="10" spans="1:1" ht="15.5" x14ac:dyDescent="0.35">
      <c r="A10" s="254" t="s">
        <v>322</v>
      </c>
    </row>
    <row r="11" spans="1:1" ht="15.5" x14ac:dyDescent="0.35">
      <c r="A11" s="254" t="s">
        <v>319</v>
      </c>
    </row>
    <row r="12" spans="1:1" ht="15.5" x14ac:dyDescent="0.35">
      <c r="A12" s="256"/>
    </row>
    <row r="13" spans="1:1" x14ac:dyDescent="0.35">
      <c r="A13" s="257" t="s">
        <v>318</v>
      </c>
    </row>
    <row r="14" spans="1:1" ht="15.5" x14ac:dyDescent="0.35">
      <c r="A14" s="256"/>
    </row>
    <row r="15" spans="1:1" ht="15.5" x14ac:dyDescent="0.35">
      <c r="A15" s="256"/>
    </row>
    <row r="16" spans="1:1" ht="15.5" x14ac:dyDescent="0.35">
      <c r="A16" s="254" t="s">
        <v>316</v>
      </c>
    </row>
    <row r="17" spans="1:1" ht="15.5" x14ac:dyDescent="0.35">
      <c r="A17" s="254"/>
    </row>
    <row r="18" spans="1:1" ht="15.5" x14ac:dyDescent="0.35">
      <c r="A18" s="258"/>
    </row>
    <row r="19" spans="1:1" ht="15.5" x14ac:dyDescent="0.35">
      <c r="A19" s="254" t="s">
        <v>317</v>
      </c>
    </row>
    <row r="20" spans="1:1" ht="15.5" x14ac:dyDescent="0.35">
      <c r="A20" s="258"/>
    </row>
    <row r="21" spans="1:1" ht="15.5" x14ac:dyDescent="0.35">
      <c r="A21" s="259"/>
    </row>
    <row r="22" spans="1:1" ht="15.5" x14ac:dyDescent="0.35">
      <c r="A22" s="259"/>
    </row>
    <row r="23" spans="1:1" ht="15.5" x14ac:dyDescent="0.35">
      <c r="A23" s="258"/>
    </row>
    <row r="24" spans="1:1" ht="15.5" x14ac:dyDescent="0.35">
      <c r="A24" s="258"/>
    </row>
    <row r="25" spans="1:1" ht="15.5" x14ac:dyDescent="0.35">
      <c r="A25" s="260"/>
    </row>
    <row r="26" spans="1:1" ht="15.5" x14ac:dyDescent="0.35">
      <c r="A26" s="260"/>
    </row>
    <row r="27" spans="1:1" x14ac:dyDescent="0.35">
      <c r="A27" s="257"/>
    </row>
    <row r="28" spans="1:1" x14ac:dyDescent="0.35">
      <c r="A28" s="257"/>
    </row>
    <row r="29" spans="1:1" x14ac:dyDescent="0.35">
      <c r="A29" s="257"/>
    </row>
    <row r="30" spans="1:1" x14ac:dyDescent="0.35">
      <c r="A30" s="257"/>
    </row>
    <row r="31" spans="1:1" x14ac:dyDescent="0.35">
      <c r="A31" s="257"/>
    </row>
    <row r="32" spans="1:1" x14ac:dyDescent="0.35">
      <c r="A32" s="257"/>
    </row>
    <row r="33" spans="1:1" x14ac:dyDescent="0.35">
      <c r="A33" s="257"/>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F66"/>
  <sheetViews>
    <sheetView showGridLines="0" view="pageBreakPreview" topLeftCell="B1" zoomScale="80" zoomScaleNormal="120" zoomScaleSheetLayoutView="80" workbookViewId="0">
      <selection activeCell="I11" sqref="I11"/>
    </sheetView>
  </sheetViews>
  <sheetFormatPr baseColWidth="10" defaultColWidth="11.453125" defaultRowHeight="12.5" x14ac:dyDescent="0.25"/>
  <cols>
    <col min="1" max="1" width="11.453125" style="41" hidden="1" customWidth="1"/>
    <col min="2" max="2" width="8.6328125" style="41" customWidth="1"/>
    <col min="3" max="3" width="77.90625" style="104" customWidth="1"/>
    <col min="4" max="4" width="10.36328125" style="104" hidden="1" customWidth="1"/>
    <col min="5" max="5" width="13.90625" style="41" customWidth="1"/>
    <col min="6" max="6" width="15.54296875" style="41" customWidth="1"/>
    <col min="7" max="7" width="15.36328125" style="41" customWidth="1"/>
    <col min="8" max="16384" width="11.453125" style="41"/>
  </cols>
  <sheetData>
    <row r="5" spans="2:6" ht="14.5" x14ac:dyDescent="0.25">
      <c r="C5" s="135" t="s">
        <v>25</v>
      </c>
    </row>
    <row r="6" spans="2:6" ht="14.5" x14ac:dyDescent="0.25">
      <c r="C6" s="135" t="s">
        <v>299</v>
      </c>
    </row>
    <row r="7" spans="2:6" ht="14.5" x14ac:dyDescent="0.25">
      <c r="C7" s="135" t="s">
        <v>304</v>
      </c>
      <c r="D7" s="54"/>
    </row>
    <row r="8" spans="2:6" ht="13" x14ac:dyDescent="0.25">
      <c r="C8" s="38" t="s">
        <v>303</v>
      </c>
      <c r="D8" s="28"/>
    </row>
    <row r="9" spans="2:6" ht="17.399999999999999" customHeight="1" x14ac:dyDescent="0.25">
      <c r="C9" s="135" t="s">
        <v>301</v>
      </c>
      <c r="D9" s="91"/>
    </row>
    <row r="10" spans="2:6" ht="18" customHeight="1" x14ac:dyDescent="0.25">
      <c r="D10" s="91"/>
    </row>
    <row r="11" spans="2:6" ht="15.75" customHeight="1" x14ac:dyDescent="0.25">
      <c r="B11" s="43"/>
      <c r="C11" s="43"/>
      <c r="D11" s="57" t="s">
        <v>21</v>
      </c>
      <c r="E11" s="57" t="s">
        <v>22</v>
      </c>
      <c r="F11" s="57" t="s">
        <v>23</v>
      </c>
    </row>
    <row r="12" spans="2:6" ht="13" x14ac:dyDescent="0.25">
      <c r="B12" s="90">
        <v>424</v>
      </c>
      <c r="C12" s="134" t="s">
        <v>298</v>
      </c>
      <c r="D12" s="94"/>
      <c r="E12" s="216">
        <f>436874190.6/1000</f>
        <v>436874.19060000003</v>
      </c>
      <c r="F12" s="216">
        <f>332266427/1000</f>
        <v>332266.42700000003</v>
      </c>
    </row>
    <row r="13" spans="2:6" x14ac:dyDescent="0.25">
      <c r="B13" s="170"/>
      <c r="C13" s="171"/>
      <c r="D13" s="94"/>
      <c r="E13" s="92"/>
      <c r="F13" s="92"/>
    </row>
    <row r="14" spans="2:6" ht="13" x14ac:dyDescent="0.25">
      <c r="B14" s="90">
        <v>450</v>
      </c>
      <c r="C14" s="89" t="s">
        <v>4</v>
      </c>
      <c r="D14" s="94"/>
      <c r="E14" s="200"/>
      <c r="F14" s="200"/>
    </row>
    <row r="15" spans="2:6" x14ac:dyDescent="0.25">
      <c r="B15" s="93"/>
      <c r="C15" s="94"/>
      <c r="D15" s="94"/>
      <c r="E15" s="92"/>
      <c r="F15" s="92"/>
    </row>
    <row r="16" spans="2:6" ht="13" x14ac:dyDescent="0.3">
      <c r="B16" s="95">
        <v>451</v>
      </c>
      <c r="C16" s="96" t="s">
        <v>84</v>
      </c>
      <c r="D16" s="94"/>
      <c r="E16" s="200">
        <v>0</v>
      </c>
      <c r="F16" s="200">
        <v>0</v>
      </c>
    </row>
    <row r="17" spans="1:6" ht="13" x14ac:dyDescent="0.3">
      <c r="B17" s="97">
        <v>452</v>
      </c>
      <c r="C17" s="98" t="s">
        <v>128</v>
      </c>
      <c r="D17" s="94"/>
      <c r="E17" s="92"/>
      <c r="F17" s="92"/>
    </row>
    <row r="18" spans="1:6" ht="13" x14ac:dyDescent="0.3">
      <c r="B18" s="97">
        <v>453</v>
      </c>
      <c r="C18" s="157" t="s">
        <v>277</v>
      </c>
      <c r="D18" s="94"/>
      <c r="E18" s="92"/>
      <c r="F18" s="92"/>
    </row>
    <row r="19" spans="1:6" ht="13" x14ac:dyDescent="0.3">
      <c r="B19" s="97"/>
      <c r="C19" s="99"/>
      <c r="D19" s="94"/>
      <c r="E19" s="92"/>
      <c r="F19" s="92"/>
    </row>
    <row r="20" spans="1:6" ht="13" x14ac:dyDescent="0.3">
      <c r="B20" s="97">
        <v>454</v>
      </c>
      <c r="C20" s="98" t="s">
        <v>154</v>
      </c>
      <c r="D20" s="94"/>
      <c r="E20" s="200">
        <v>0</v>
      </c>
      <c r="F20" s="200">
        <v>0</v>
      </c>
    </row>
    <row r="21" spans="1:6" ht="13" x14ac:dyDescent="0.3">
      <c r="B21" s="93"/>
      <c r="C21" s="157" t="s">
        <v>278</v>
      </c>
      <c r="D21" s="94"/>
      <c r="E21" s="92"/>
      <c r="F21" s="92"/>
    </row>
    <row r="22" spans="1:6" ht="13" x14ac:dyDescent="0.3">
      <c r="B22" s="97"/>
      <c r="C22" s="101"/>
      <c r="D22" s="94"/>
      <c r="E22" s="92"/>
      <c r="F22" s="92"/>
    </row>
    <row r="23" spans="1:6" ht="13" x14ac:dyDescent="0.3">
      <c r="B23" s="97">
        <v>475</v>
      </c>
      <c r="C23" s="100" t="s">
        <v>296</v>
      </c>
      <c r="D23" s="94"/>
      <c r="E23" s="200">
        <v>0</v>
      </c>
      <c r="F23" s="200">
        <v>0</v>
      </c>
    </row>
    <row r="24" spans="1:6" ht="13.5" customHeight="1" x14ac:dyDescent="0.3">
      <c r="B24" s="97"/>
      <c r="C24" s="157" t="s">
        <v>278</v>
      </c>
      <c r="D24" s="94"/>
      <c r="E24" s="92"/>
      <c r="F24" s="92"/>
    </row>
    <row r="25" spans="1:6" ht="13.5" customHeight="1" x14ac:dyDescent="0.3">
      <c r="B25" s="97"/>
      <c r="C25" s="101"/>
      <c r="D25" s="94"/>
      <c r="E25" s="92"/>
      <c r="F25" s="92"/>
    </row>
    <row r="26" spans="1:6" ht="13" x14ac:dyDescent="0.3">
      <c r="B26" s="97">
        <v>458</v>
      </c>
      <c r="C26" s="100" t="s">
        <v>129</v>
      </c>
      <c r="D26" s="94"/>
      <c r="E26" s="200">
        <v>0</v>
      </c>
      <c r="F26" s="200">
        <v>0</v>
      </c>
    </row>
    <row r="27" spans="1:6" ht="13" x14ac:dyDescent="0.3">
      <c r="A27" s="41" t="s">
        <v>43</v>
      </c>
      <c r="B27" s="97">
        <v>459</v>
      </c>
      <c r="C27" s="99" t="s">
        <v>284</v>
      </c>
      <c r="D27" s="94"/>
      <c r="E27" s="92"/>
      <c r="F27" s="92"/>
    </row>
    <row r="28" spans="1:6" ht="13" x14ac:dyDescent="0.3">
      <c r="A28" s="41" t="s">
        <v>45</v>
      </c>
      <c r="B28" s="97"/>
      <c r="C28" s="157"/>
      <c r="D28" s="94"/>
      <c r="E28" s="92"/>
      <c r="F28" s="92"/>
    </row>
    <row r="29" spans="1:6" ht="13" x14ac:dyDescent="0.3">
      <c r="B29" s="95">
        <v>460</v>
      </c>
      <c r="C29" s="96" t="s">
        <v>44</v>
      </c>
      <c r="D29" s="94"/>
      <c r="E29" s="200">
        <v>0</v>
      </c>
      <c r="F29" s="200">
        <v>0</v>
      </c>
    </row>
    <row r="30" spans="1:6" ht="13" x14ac:dyDescent="0.3">
      <c r="B30" s="97">
        <v>461</v>
      </c>
      <c r="C30" s="102" t="s">
        <v>3</v>
      </c>
      <c r="D30" s="94"/>
      <c r="E30" s="92"/>
      <c r="F30" s="92"/>
    </row>
    <row r="31" spans="1:6" ht="13" x14ac:dyDescent="0.3">
      <c r="B31" s="93"/>
      <c r="C31" s="157" t="s">
        <v>280</v>
      </c>
      <c r="D31" s="94"/>
      <c r="E31" s="92"/>
      <c r="F31" s="92"/>
    </row>
    <row r="32" spans="1:6" ht="13" x14ac:dyDescent="0.3">
      <c r="B32" s="93">
        <v>465</v>
      </c>
      <c r="C32" s="157" t="s">
        <v>281</v>
      </c>
      <c r="D32" s="94"/>
      <c r="E32" s="92"/>
      <c r="F32" s="92"/>
    </row>
    <row r="33" spans="2:6" ht="13" x14ac:dyDescent="0.3">
      <c r="B33" s="93">
        <v>466</v>
      </c>
      <c r="C33" s="157" t="s">
        <v>279</v>
      </c>
      <c r="D33" s="94"/>
      <c r="E33" s="92"/>
      <c r="F33" s="92"/>
    </row>
    <row r="34" spans="2:6" ht="13" x14ac:dyDescent="0.3">
      <c r="B34" s="93"/>
      <c r="C34" s="100"/>
      <c r="D34" s="94"/>
      <c r="E34" s="92"/>
      <c r="F34" s="92"/>
    </row>
    <row r="35" spans="2:6" ht="13" x14ac:dyDescent="0.3">
      <c r="B35" s="95">
        <v>467</v>
      </c>
      <c r="C35" s="96" t="s">
        <v>8</v>
      </c>
      <c r="D35" s="94"/>
      <c r="E35" s="200">
        <v>0</v>
      </c>
      <c r="F35" s="200">
        <v>0</v>
      </c>
    </row>
    <row r="36" spans="2:6" ht="13" x14ac:dyDescent="0.3">
      <c r="B36" s="93"/>
      <c r="C36" s="157" t="s">
        <v>278</v>
      </c>
      <c r="D36" s="94"/>
      <c r="E36" s="92"/>
      <c r="F36" s="92"/>
    </row>
    <row r="37" spans="2:6" ht="13" x14ac:dyDescent="0.3">
      <c r="B37" s="93">
        <v>470</v>
      </c>
      <c r="C37" s="157" t="s">
        <v>281</v>
      </c>
      <c r="D37" s="94"/>
      <c r="E37" s="92"/>
      <c r="F37" s="92"/>
    </row>
    <row r="38" spans="2:6" ht="30" customHeight="1" x14ac:dyDescent="0.3">
      <c r="B38" s="93">
        <v>471</v>
      </c>
      <c r="C38" s="157" t="s">
        <v>279</v>
      </c>
      <c r="D38" s="94"/>
      <c r="E38" s="92"/>
      <c r="F38" s="92"/>
    </row>
    <row r="39" spans="2:6" ht="13.5" customHeight="1" x14ac:dyDescent="0.3">
      <c r="B39" s="93"/>
      <c r="C39" s="157"/>
      <c r="D39" s="94"/>
      <c r="E39" s="92"/>
      <c r="F39" s="92"/>
    </row>
    <row r="40" spans="2:6" ht="13.5" customHeight="1" x14ac:dyDescent="0.3">
      <c r="B40" s="95">
        <v>472</v>
      </c>
      <c r="C40" s="96" t="s">
        <v>85</v>
      </c>
      <c r="D40" s="94"/>
      <c r="E40" s="200">
        <v>0</v>
      </c>
      <c r="F40" s="200">
        <v>0</v>
      </c>
    </row>
    <row r="41" spans="2:6" ht="13" x14ac:dyDescent="0.3">
      <c r="B41" s="93">
        <v>473</v>
      </c>
      <c r="C41" s="157" t="s">
        <v>282</v>
      </c>
      <c r="D41" s="94"/>
      <c r="E41" s="92"/>
      <c r="F41" s="92"/>
    </row>
    <row r="42" spans="2:6" ht="13" x14ac:dyDescent="0.3">
      <c r="B42" s="93"/>
      <c r="C42" s="157"/>
      <c r="D42" s="94"/>
      <c r="E42" s="92"/>
      <c r="F42" s="92"/>
    </row>
    <row r="43" spans="2:6" s="49" customFormat="1" ht="13" x14ac:dyDescent="0.3">
      <c r="B43" s="93"/>
      <c r="C43" s="166" t="s">
        <v>283</v>
      </c>
      <c r="D43" s="65"/>
      <c r="E43" s="200">
        <v>0</v>
      </c>
      <c r="F43" s="200">
        <v>0</v>
      </c>
    </row>
    <row r="44" spans="2:6" s="49" customFormat="1" ht="13" x14ac:dyDescent="0.3">
      <c r="B44" s="93"/>
      <c r="C44" s="167"/>
      <c r="D44" s="65"/>
      <c r="E44" s="59"/>
      <c r="F44" s="59"/>
    </row>
    <row r="45" spans="2:6" s="49" customFormat="1" ht="13" x14ac:dyDescent="0.3">
      <c r="B45" s="90">
        <v>474</v>
      </c>
      <c r="C45" s="89" t="s">
        <v>204</v>
      </c>
      <c r="D45" s="65"/>
      <c r="E45" s="222">
        <f>+E43+E12</f>
        <v>436874.19060000003</v>
      </c>
      <c r="F45" s="222">
        <f>+F43+F12</f>
        <v>332266.42700000003</v>
      </c>
    </row>
    <row r="46" spans="2:6" s="49" customFormat="1" ht="13" x14ac:dyDescent="0.3">
      <c r="B46" s="48"/>
      <c r="C46" s="69"/>
      <c r="D46" s="69"/>
      <c r="E46" s="103"/>
      <c r="F46" s="103"/>
    </row>
    <row r="47" spans="2:6" x14ac:dyDescent="0.25">
      <c r="B47" s="49"/>
    </row>
    <row r="48" spans="2:6" ht="13" x14ac:dyDescent="0.3">
      <c r="B48" s="49"/>
      <c r="F48" s="143"/>
    </row>
    <row r="49" spans="2:6" ht="13" x14ac:dyDescent="0.25">
      <c r="B49" s="49"/>
      <c r="C49" s="223"/>
    </row>
    <row r="54" spans="2:6" ht="13" x14ac:dyDescent="0.3">
      <c r="B54" s="253" t="s">
        <v>174</v>
      </c>
    </row>
    <row r="55" spans="2:6" x14ac:dyDescent="0.25">
      <c r="B55" s="51" t="s">
        <v>314</v>
      </c>
    </row>
    <row r="56" spans="2:6" x14ac:dyDescent="0.25">
      <c r="B56" s="41" t="s">
        <v>188</v>
      </c>
    </row>
    <row r="57" spans="2:6" x14ac:dyDescent="0.25">
      <c r="B57" s="41" t="s">
        <v>189</v>
      </c>
    </row>
    <row r="58" spans="2:6" x14ac:dyDescent="0.25">
      <c r="B58" s="263" t="s">
        <v>292</v>
      </c>
      <c r="C58" s="263"/>
      <c r="D58" s="263"/>
      <c r="E58" s="263"/>
      <c r="F58" s="263"/>
    </row>
    <row r="59" spans="2:6" x14ac:dyDescent="0.25">
      <c r="B59" s="41" t="s">
        <v>190</v>
      </c>
    </row>
    <row r="60" spans="2:6" x14ac:dyDescent="0.25">
      <c r="B60" s="49" t="s">
        <v>191</v>
      </c>
    </row>
    <row r="62" spans="2:6" x14ac:dyDescent="0.25">
      <c r="B62" s="49"/>
      <c r="C62" s="71"/>
      <c r="D62" s="71"/>
    </row>
    <row r="63" spans="2:6" x14ac:dyDescent="0.25">
      <c r="B63" s="49"/>
      <c r="C63" s="72"/>
      <c r="D63" s="72"/>
    </row>
    <row r="64" spans="2:6" x14ac:dyDescent="0.25">
      <c r="B64" s="49"/>
      <c r="C64" s="72"/>
      <c r="D64" s="72"/>
    </row>
    <row r="65" spans="2:4" x14ac:dyDescent="0.25">
      <c r="B65" s="49"/>
      <c r="C65" s="72"/>
      <c r="D65" s="72"/>
    </row>
    <row r="66" spans="2:4" x14ac:dyDescent="0.25">
      <c r="B66" s="49"/>
      <c r="C66" s="72"/>
      <c r="D66" s="72"/>
    </row>
  </sheetData>
  <mergeCells count="1">
    <mergeCell ref="B58:F58"/>
  </mergeCells>
  <pageMargins left="0.31496062992125984" right="0.31496062992125984" top="0.74803149606299213" bottom="0.74803149606299213" header="0.31496062992125984" footer="0.31496062992125984"/>
  <pageSetup scale="80" orientation="portrait"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1"/>
  <sheetViews>
    <sheetView showGridLines="0" view="pageBreakPreview" topLeftCell="A4" zoomScale="90" zoomScaleNormal="130" zoomScaleSheetLayoutView="90" workbookViewId="0">
      <selection activeCell="A20" sqref="A20:XFD20"/>
    </sheetView>
  </sheetViews>
  <sheetFormatPr baseColWidth="10" defaultColWidth="11.453125" defaultRowHeight="12.5" x14ac:dyDescent="0.25"/>
  <cols>
    <col min="1" max="1" width="6.08984375" style="49" customWidth="1"/>
    <col min="2" max="2" width="72.54296875" style="72" customWidth="1"/>
    <col min="3" max="3" width="7.453125" style="72" customWidth="1"/>
    <col min="4" max="4" width="13.90625" style="49" customWidth="1"/>
    <col min="5" max="5" width="16.90625" style="49" customWidth="1"/>
    <col min="6" max="16384" width="11.453125" style="49"/>
  </cols>
  <sheetData>
    <row r="1" spans="1:5" s="41" customFormat="1" ht="13" x14ac:dyDescent="0.3">
      <c r="B1" s="52"/>
      <c r="C1" s="52"/>
    </row>
    <row r="2" spans="1:5" s="41" customFormat="1" ht="13" x14ac:dyDescent="0.3">
      <c r="B2" s="52"/>
      <c r="C2" s="52"/>
    </row>
    <row r="3" spans="1:5" s="41" customFormat="1" ht="13" x14ac:dyDescent="0.3">
      <c r="B3" s="52"/>
      <c r="C3" s="52"/>
    </row>
    <row r="4" spans="1:5" s="41" customFormat="1" ht="33.75" customHeight="1" x14ac:dyDescent="0.3">
      <c r="B4" s="52"/>
      <c r="C4" s="52"/>
    </row>
    <row r="5" spans="1:5" s="41" customFormat="1" ht="16.75" customHeight="1" x14ac:dyDescent="0.3">
      <c r="B5" s="37" t="s">
        <v>25</v>
      </c>
      <c r="C5" s="52"/>
    </row>
    <row r="6" spans="1:5" s="41" customFormat="1" ht="16.75" customHeight="1" x14ac:dyDescent="0.3">
      <c r="B6" s="37" t="s">
        <v>299</v>
      </c>
      <c r="C6" s="52"/>
    </row>
    <row r="7" spans="1:5" s="41" customFormat="1" ht="15.75" customHeight="1" x14ac:dyDescent="0.25">
      <c r="B7" s="36" t="s">
        <v>83</v>
      </c>
      <c r="C7" s="53"/>
    </row>
    <row r="8" spans="1:5" s="41" customFormat="1" ht="13" x14ac:dyDescent="0.25">
      <c r="A8" s="42"/>
      <c r="B8" s="38" t="s">
        <v>300</v>
      </c>
      <c r="C8" s="54"/>
    </row>
    <row r="9" spans="1:5" s="41" customFormat="1" ht="15" customHeight="1" x14ac:dyDescent="0.25">
      <c r="B9" s="37" t="s">
        <v>301</v>
      </c>
      <c r="C9" s="55"/>
    </row>
    <row r="10" spans="1:5" s="41" customFormat="1" ht="13.5" customHeight="1" thickBot="1" x14ac:dyDescent="0.3">
      <c r="C10" s="51"/>
    </row>
    <row r="11" spans="1:5" s="41" customFormat="1" ht="18" customHeight="1" thickBot="1" x14ac:dyDescent="0.3">
      <c r="A11" s="43"/>
      <c r="B11" s="43"/>
      <c r="C11" s="189" t="s">
        <v>21</v>
      </c>
      <c r="D11" s="196" t="s">
        <v>22</v>
      </c>
      <c r="E11" s="197" t="s">
        <v>23</v>
      </c>
    </row>
    <row r="12" spans="1:5" ht="13" x14ac:dyDescent="0.25">
      <c r="A12" s="173">
        <v>100</v>
      </c>
      <c r="B12" s="174" t="s">
        <v>36</v>
      </c>
      <c r="C12" s="175"/>
      <c r="D12" s="59"/>
      <c r="E12" s="59"/>
    </row>
    <row r="13" spans="1:5" ht="13" x14ac:dyDescent="0.3">
      <c r="A13" s="176">
        <v>110</v>
      </c>
      <c r="B13" s="60" t="s">
        <v>227</v>
      </c>
      <c r="C13" s="61"/>
      <c r="D13" s="198">
        <v>147330.69275469999</v>
      </c>
      <c r="E13" s="199">
        <f>92750871/1000</f>
        <v>92750.870999999999</v>
      </c>
    </row>
    <row r="14" spans="1:5" ht="13" x14ac:dyDescent="0.3">
      <c r="A14" s="177"/>
      <c r="B14" s="64"/>
      <c r="C14" s="61"/>
      <c r="D14" s="198"/>
      <c r="E14" s="200"/>
    </row>
    <row r="15" spans="1:5" ht="13" x14ac:dyDescent="0.3">
      <c r="A15" s="176">
        <v>111</v>
      </c>
      <c r="B15" s="60" t="s">
        <v>104</v>
      </c>
      <c r="C15" s="61"/>
      <c r="D15" s="200">
        <v>0</v>
      </c>
      <c r="E15" s="200">
        <v>0</v>
      </c>
    </row>
    <row r="16" spans="1:5" ht="15.75" customHeight="1" x14ac:dyDescent="0.3">
      <c r="A16" s="178">
        <v>123</v>
      </c>
      <c r="B16" s="60" t="s">
        <v>105</v>
      </c>
      <c r="C16" s="61"/>
      <c r="D16" s="200">
        <v>0</v>
      </c>
      <c r="E16" s="200">
        <v>0</v>
      </c>
    </row>
    <row r="17" spans="1:5" ht="13" x14ac:dyDescent="0.3">
      <c r="A17" s="178"/>
      <c r="B17" s="60"/>
      <c r="C17" s="61"/>
      <c r="D17" s="198"/>
      <c r="E17" s="200"/>
    </row>
    <row r="18" spans="1:5" ht="13" x14ac:dyDescent="0.3">
      <c r="A18" s="176">
        <v>199</v>
      </c>
      <c r="B18" s="60" t="s">
        <v>293</v>
      </c>
      <c r="C18" s="63"/>
      <c r="D18" s="198">
        <f>+D19+D20</f>
        <v>3739536.1237904001</v>
      </c>
      <c r="E18" s="201">
        <f>+E19+E20</f>
        <v>3296904.1840000004</v>
      </c>
    </row>
    <row r="19" spans="1:5" ht="13" x14ac:dyDescent="0.3">
      <c r="A19" s="176">
        <v>134</v>
      </c>
      <c r="B19" s="60" t="s">
        <v>106</v>
      </c>
      <c r="C19" s="61"/>
      <c r="D19" s="198">
        <v>3363060.4791995999</v>
      </c>
      <c r="E19" s="202">
        <f>3075277362/1000</f>
        <v>3075277.3620000002</v>
      </c>
    </row>
    <row r="20" spans="1:5" ht="13" x14ac:dyDescent="0.3">
      <c r="A20" s="176">
        <v>137</v>
      </c>
      <c r="B20" s="60" t="s">
        <v>294</v>
      </c>
      <c r="C20" s="63"/>
      <c r="D20" s="198">
        <v>376475.64459079999</v>
      </c>
      <c r="E20" s="202">
        <f>221626822/1000</f>
        <v>221626.82199999999</v>
      </c>
    </row>
    <row r="21" spans="1:5" ht="13" x14ac:dyDescent="0.3">
      <c r="A21" s="179"/>
      <c r="B21" s="64" t="s">
        <v>70</v>
      </c>
      <c r="C21" s="63"/>
      <c r="D21" s="198"/>
      <c r="E21" s="202"/>
    </row>
    <row r="22" spans="1:5" ht="13" x14ac:dyDescent="0.3">
      <c r="A22" s="176">
        <v>149</v>
      </c>
      <c r="B22" s="60" t="s">
        <v>212</v>
      </c>
      <c r="C22" s="63"/>
      <c r="D22" s="198">
        <v>441255.33154099999</v>
      </c>
      <c r="E22" s="202">
        <f>514268862/1000</f>
        <v>514268.86200000002</v>
      </c>
    </row>
    <row r="23" spans="1:5" ht="13" x14ac:dyDescent="0.3">
      <c r="A23" s="177"/>
      <c r="B23" s="64" t="s">
        <v>70</v>
      </c>
      <c r="C23" s="63"/>
      <c r="D23" s="198"/>
      <c r="E23" s="202"/>
    </row>
    <row r="24" spans="1:5" ht="13" x14ac:dyDescent="0.3">
      <c r="A24" s="176">
        <v>152</v>
      </c>
      <c r="B24" s="60" t="s">
        <v>289</v>
      </c>
      <c r="C24" s="63"/>
      <c r="D24" s="198">
        <v>136323.03201550001</v>
      </c>
      <c r="E24" s="202">
        <f>166203782/1000</f>
        <v>166203.78200000001</v>
      </c>
    </row>
    <row r="25" spans="1:5" ht="13" x14ac:dyDescent="0.3">
      <c r="A25" s="177"/>
      <c r="B25" s="64" t="s">
        <v>70</v>
      </c>
      <c r="C25" s="61"/>
      <c r="D25" s="198"/>
      <c r="E25" s="202"/>
    </row>
    <row r="26" spans="1:5" ht="13" x14ac:dyDescent="0.3">
      <c r="A26" s="176">
        <v>155</v>
      </c>
      <c r="B26" s="60" t="s">
        <v>208</v>
      </c>
      <c r="C26" s="63"/>
      <c r="D26" s="198">
        <v>35760.108826299998</v>
      </c>
      <c r="E26" s="202">
        <f>39198084/1000</f>
        <v>39198.084000000003</v>
      </c>
    </row>
    <row r="27" spans="1:5" ht="13" x14ac:dyDescent="0.3">
      <c r="A27" s="177"/>
      <c r="B27" s="64" t="s">
        <v>70</v>
      </c>
      <c r="C27" s="63"/>
      <c r="D27" s="198"/>
      <c r="E27" s="202"/>
    </row>
    <row r="28" spans="1:5" ht="13" x14ac:dyDescent="0.3">
      <c r="A28" s="176">
        <v>161</v>
      </c>
      <c r="B28" s="60" t="s">
        <v>0</v>
      </c>
      <c r="C28" s="63"/>
      <c r="D28" s="203">
        <v>0</v>
      </c>
      <c r="E28" s="202">
        <v>0</v>
      </c>
    </row>
    <row r="29" spans="1:5" ht="13" x14ac:dyDescent="0.3">
      <c r="A29" s="177"/>
      <c r="B29" s="64" t="s">
        <v>70</v>
      </c>
      <c r="C29" s="61"/>
      <c r="D29" s="203"/>
      <c r="E29" s="202"/>
    </row>
    <row r="30" spans="1:5" ht="13" x14ac:dyDescent="0.3">
      <c r="A30" s="176">
        <v>164</v>
      </c>
      <c r="B30" s="60" t="s">
        <v>155</v>
      </c>
      <c r="C30" s="63"/>
      <c r="D30" s="203">
        <v>0</v>
      </c>
      <c r="E30" s="202">
        <f>167663/1000</f>
        <v>167.66300000000001</v>
      </c>
    </row>
    <row r="31" spans="1:5" ht="13" x14ac:dyDescent="0.3">
      <c r="A31" s="177"/>
      <c r="B31" s="64" t="s">
        <v>70</v>
      </c>
      <c r="C31" s="61"/>
      <c r="D31" s="198"/>
      <c r="E31" s="202"/>
    </row>
    <row r="32" spans="1:5" ht="13" x14ac:dyDescent="0.3">
      <c r="A32" s="176">
        <v>167</v>
      </c>
      <c r="B32" s="60" t="s">
        <v>209</v>
      </c>
      <c r="C32" s="63"/>
      <c r="D32" s="203">
        <v>0</v>
      </c>
      <c r="E32" s="202">
        <v>0</v>
      </c>
    </row>
    <row r="33" spans="1:5" ht="13" x14ac:dyDescent="0.3">
      <c r="A33" s="177"/>
      <c r="B33" s="65" t="s">
        <v>70</v>
      </c>
      <c r="C33" s="61"/>
      <c r="D33" s="198"/>
      <c r="E33" s="202"/>
    </row>
    <row r="34" spans="1:5" ht="13" x14ac:dyDescent="0.3">
      <c r="A34" s="176">
        <v>171</v>
      </c>
      <c r="B34" s="60" t="s">
        <v>285</v>
      </c>
      <c r="C34" s="63"/>
      <c r="D34" s="198">
        <v>77623.417546600002</v>
      </c>
      <c r="E34" s="202">
        <f>78744017/1000</f>
        <v>78744.017000000007</v>
      </c>
    </row>
    <row r="35" spans="1:5" ht="13" x14ac:dyDescent="0.3">
      <c r="A35" s="177"/>
      <c r="B35" s="65" t="s">
        <v>70</v>
      </c>
      <c r="C35" s="61"/>
      <c r="D35" s="198"/>
      <c r="E35" s="202"/>
    </row>
    <row r="36" spans="1:5" ht="13" x14ac:dyDescent="0.3">
      <c r="A36" s="176">
        <v>181</v>
      </c>
      <c r="B36" s="60" t="s">
        <v>95</v>
      </c>
      <c r="C36" s="63"/>
      <c r="D36" s="198">
        <v>11667.2504462</v>
      </c>
      <c r="E36" s="202">
        <f>2261913/1000</f>
        <v>2261.913</v>
      </c>
    </row>
    <row r="37" spans="1:5" ht="13" x14ac:dyDescent="0.3">
      <c r="A37" s="177"/>
      <c r="B37" s="65" t="s">
        <v>70</v>
      </c>
      <c r="C37" s="61"/>
      <c r="D37" s="198"/>
      <c r="E37" s="202"/>
    </row>
    <row r="38" spans="1:5" ht="13" x14ac:dyDescent="0.3">
      <c r="A38" s="176">
        <v>185</v>
      </c>
      <c r="B38" s="60" t="s">
        <v>96</v>
      </c>
      <c r="C38" s="63"/>
      <c r="D38" s="198">
        <v>1953.6944748000001</v>
      </c>
      <c r="E38" s="202">
        <f>2312065/1000</f>
        <v>2312.0650000000001</v>
      </c>
    </row>
    <row r="39" spans="1:5" ht="13" x14ac:dyDescent="0.3">
      <c r="A39" s="177"/>
      <c r="B39" s="65" t="s">
        <v>70</v>
      </c>
      <c r="C39" s="61"/>
      <c r="D39" s="198"/>
      <c r="E39" s="202"/>
    </row>
    <row r="40" spans="1:5" ht="13" x14ac:dyDescent="0.3">
      <c r="A40" s="176">
        <v>188</v>
      </c>
      <c r="B40" s="60" t="s">
        <v>210</v>
      </c>
      <c r="C40" s="63"/>
      <c r="D40" s="203">
        <v>0</v>
      </c>
      <c r="E40" s="202">
        <v>0</v>
      </c>
    </row>
    <row r="41" spans="1:5" ht="13" x14ac:dyDescent="0.3">
      <c r="A41" s="177"/>
      <c r="B41" s="65" t="s">
        <v>70</v>
      </c>
      <c r="C41" s="61"/>
      <c r="D41" s="59"/>
      <c r="E41" s="202"/>
    </row>
    <row r="42" spans="1:5" ht="13" x14ac:dyDescent="0.3">
      <c r="A42" s="176">
        <v>189</v>
      </c>
      <c r="B42" s="60" t="s">
        <v>54</v>
      </c>
      <c r="C42" s="63"/>
      <c r="D42" s="198">
        <v>23239.3497408</v>
      </c>
      <c r="E42" s="202">
        <f>26405766/1000</f>
        <v>26405.766</v>
      </c>
    </row>
    <row r="43" spans="1:5" ht="13.5" thickBot="1" x14ac:dyDescent="0.35">
      <c r="A43" s="179"/>
      <c r="B43" s="63" t="s">
        <v>70</v>
      </c>
      <c r="C43" s="63"/>
      <c r="D43" s="59"/>
      <c r="E43" s="200"/>
    </row>
    <row r="44" spans="1:5" ht="13" x14ac:dyDescent="0.3">
      <c r="A44" s="180"/>
      <c r="B44" s="161" t="s">
        <v>69</v>
      </c>
      <c r="C44" s="66"/>
      <c r="D44" s="195">
        <f>+D13+D18+D22+D24+D26+D28+D30+D32+D34+D36+D38+D40+D42</f>
        <v>4614689.0011363002</v>
      </c>
      <c r="E44" s="204">
        <f>+E13+E18+E22+E24+E26+E28+E30+E32+E34+E36+E38+E40+E42</f>
        <v>4219217.2070000004</v>
      </c>
    </row>
    <row r="45" spans="1:5" ht="13" x14ac:dyDescent="0.3">
      <c r="A45" s="179"/>
      <c r="B45" s="63" t="s">
        <v>70</v>
      </c>
      <c r="C45" s="63"/>
      <c r="D45" s="59"/>
      <c r="E45" s="200"/>
    </row>
    <row r="46" spans="1:5" ht="13" x14ac:dyDescent="0.25">
      <c r="A46" s="181">
        <v>200</v>
      </c>
      <c r="B46" s="160" t="s">
        <v>37</v>
      </c>
      <c r="C46" s="63"/>
      <c r="D46" s="59"/>
      <c r="E46" s="59"/>
    </row>
    <row r="47" spans="1:5" ht="13" x14ac:dyDescent="0.3">
      <c r="A47" s="176">
        <v>210</v>
      </c>
      <c r="B47" s="60" t="s">
        <v>109</v>
      </c>
      <c r="C47" s="63"/>
      <c r="D47" s="205">
        <f>+SUM(D48:D56)</f>
        <v>1977568.7605743003</v>
      </c>
      <c r="E47" s="205">
        <f>+SUM(E48:E56)</f>
        <v>2061587.8399999999</v>
      </c>
    </row>
    <row r="48" spans="1:5" x14ac:dyDescent="0.25">
      <c r="A48" s="182">
        <v>211</v>
      </c>
      <c r="B48" s="62" t="s">
        <v>156</v>
      </c>
      <c r="C48" s="63"/>
      <c r="D48" s="198">
        <v>462571.27288469998</v>
      </c>
      <c r="E48" s="200">
        <f>523913024/1000</f>
        <v>523913.02399999998</v>
      </c>
    </row>
    <row r="49" spans="1:5" ht="18" customHeight="1" x14ac:dyDescent="0.25">
      <c r="A49" s="182">
        <f>+A48+1</f>
        <v>212</v>
      </c>
      <c r="B49" s="62" t="s">
        <v>157</v>
      </c>
      <c r="C49" s="63"/>
      <c r="D49" s="198">
        <v>521596.66090359999</v>
      </c>
      <c r="E49" s="200">
        <f>495123846/1000</f>
        <v>495123.84600000002</v>
      </c>
    </row>
    <row r="50" spans="1:5" x14ac:dyDescent="0.25">
      <c r="A50" s="182">
        <f t="shared" ref="A50:A56" si="0">+A49+1</f>
        <v>213</v>
      </c>
      <c r="B50" s="62" t="s">
        <v>158</v>
      </c>
      <c r="C50" s="63"/>
      <c r="D50" s="198">
        <v>0</v>
      </c>
      <c r="E50" s="200">
        <v>0</v>
      </c>
    </row>
    <row r="51" spans="1:5" x14ac:dyDescent="0.25">
      <c r="A51" s="182">
        <f t="shared" si="0"/>
        <v>214</v>
      </c>
      <c r="B51" s="62" t="s">
        <v>159</v>
      </c>
      <c r="C51" s="63"/>
      <c r="D51" s="198">
        <v>258470.47053680001</v>
      </c>
      <c r="E51" s="200">
        <f>351972521/1000</f>
        <v>351972.52100000001</v>
      </c>
    </row>
    <row r="52" spans="1:5" ht="25" x14ac:dyDescent="0.25">
      <c r="A52" s="182">
        <f t="shared" si="0"/>
        <v>215</v>
      </c>
      <c r="B52" s="62" t="s">
        <v>110</v>
      </c>
      <c r="C52" s="63"/>
      <c r="D52" s="198">
        <v>13337.4381784</v>
      </c>
      <c r="E52" s="200">
        <f>18403711/1000</f>
        <v>18403.710999999999</v>
      </c>
    </row>
    <row r="53" spans="1:5" ht="16.5" customHeight="1" x14ac:dyDescent="0.25">
      <c r="A53" s="182">
        <f t="shared" si="0"/>
        <v>216</v>
      </c>
      <c r="B53" s="62" t="s">
        <v>108</v>
      </c>
      <c r="C53" s="63"/>
      <c r="D53" s="198">
        <v>93422.826142799997</v>
      </c>
      <c r="E53" s="200">
        <f>86193749/1000</f>
        <v>86193.748999999996</v>
      </c>
    </row>
    <row r="54" spans="1:5" x14ac:dyDescent="0.25">
      <c r="A54" s="182">
        <f t="shared" si="0"/>
        <v>217</v>
      </c>
      <c r="B54" s="62" t="s">
        <v>107</v>
      </c>
      <c r="C54" s="63"/>
      <c r="D54" s="198">
        <v>628170.09192799998</v>
      </c>
      <c r="E54" s="200">
        <f>585980989/1000</f>
        <v>585980.98899999994</v>
      </c>
    </row>
    <row r="55" spans="1:5" x14ac:dyDescent="0.25">
      <c r="A55" s="182">
        <f t="shared" si="0"/>
        <v>218</v>
      </c>
      <c r="B55" s="62" t="s">
        <v>112</v>
      </c>
      <c r="C55" s="63"/>
      <c r="D55" s="200">
        <v>0</v>
      </c>
      <c r="E55" s="200">
        <v>0</v>
      </c>
    </row>
    <row r="56" spans="1:5" x14ac:dyDescent="0.25">
      <c r="A56" s="182">
        <f t="shared" si="0"/>
        <v>219</v>
      </c>
      <c r="B56" s="62" t="s">
        <v>111</v>
      </c>
      <c r="C56" s="63"/>
      <c r="D56" s="200">
        <v>0</v>
      </c>
      <c r="E56" s="200">
        <v>0</v>
      </c>
    </row>
    <row r="57" spans="1:5" ht="13" x14ac:dyDescent="0.3">
      <c r="A57" s="179"/>
      <c r="B57" s="62" t="s">
        <v>70</v>
      </c>
      <c r="C57" s="66"/>
      <c r="D57" s="59"/>
      <c r="E57" s="200"/>
    </row>
    <row r="58" spans="1:5" ht="13" x14ac:dyDescent="0.3">
      <c r="A58" s="183">
        <f>+A56+1</f>
        <v>220</v>
      </c>
      <c r="B58" s="60" t="s">
        <v>160</v>
      </c>
      <c r="C58" s="63"/>
      <c r="D58" s="198">
        <v>141467.60049350001</v>
      </c>
      <c r="E58" s="200">
        <f>141325529/1000</f>
        <v>141325.52900000001</v>
      </c>
    </row>
    <row r="59" spans="1:5" ht="13" x14ac:dyDescent="0.3">
      <c r="A59" s="179"/>
      <c r="B59" s="62"/>
      <c r="C59" s="63"/>
      <c r="D59" s="59"/>
      <c r="E59" s="200"/>
    </row>
    <row r="60" spans="1:5" ht="13" x14ac:dyDescent="0.3">
      <c r="A60" s="176">
        <v>227</v>
      </c>
      <c r="B60" s="60" t="s">
        <v>213</v>
      </c>
      <c r="C60" s="63"/>
      <c r="D60" s="206">
        <f>+SUM(D61:D64)</f>
        <v>172140.45632990001</v>
      </c>
      <c r="E60" s="206">
        <f>+SUM(E61:E64)</f>
        <v>119776.41200000001</v>
      </c>
    </row>
    <row r="61" spans="1:5" x14ac:dyDescent="0.25">
      <c r="A61" s="182">
        <v>228</v>
      </c>
      <c r="B61" s="62" t="s">
        <v>97</v>
      </c>
      <c r="C61" s="63"/>
      <c r="D61" s="198">
        <v>8270.4460447000001</v>
      </c>
      <c r="E61" s="200">
        <f>5812177/1000</f>
        <v>5812.1769999999997</v>
      </c>
    </row>
    <row r="62" spans="1:5" x14ac:dyDescent="0.25">
      <c r="A62" s="182">
        <v>229</v>
      </c>
      <c r="B62" s="62" t="s">
        <v>98</v>
      </c>
      <c r="C62" s="63"/>
      <c r="D62" s="198">
        <v>60995.032721900003</v>
      </c>
      <c r="E62" s="200">
        <f>52013809/1000</f>
        <v>52013.809000000001</v>
      </c>
    </row>
    <row r="63" spans="1:5" ht="13" x14ac:dyDescent="0.3">
      <c r="A63" s="182">
        <v>230</v>
      </c>
      <c r="B63" s="62" t="s">
        <v>114</v>
      </c>
      <c r="C63" s="66"/>
      <c r="D63" s="198">
        <v>51011.617563300002</v>
      </c>
      <c r="E63" s="200">
        <f>4502519/1000</f>
        <v>4502.5190000000002</v>
      </c>
    </row>
    <row r="64" spans="1:5" x14ac:dyDescent="0.25">
      <c r="A64" s="182">
        <f>+A63+1</f>
        <v>231</v>
      </c>
      <c r="B64" s="62" t="s">
        <v>211</v>
      </c>
      <c r="C64" s="207"/>
      <c r="D64" s="198">
        <f>51863360/1000</f>
        <v>51863.360000000001</v>
      </c>
      <c r="E64" s="200">
        <f>57447907/1000</f>
        <v>57447.906999999999</v>
      </c>
    </row>
    <row r="65" spans="1:5" x14ac:dyDescent="0.25">
      <c r="A65" s="182"/>
      <c r="B65" s="62"/>
      <c r="C65" s="63"/>
      <c r="D65" s="59"/>
      <c r="E65" s="200"/>
    </row>
    <row r="66" spans="1:5" ht="13" x14ac:dyDescent="0.3">
      <c r="A66" s="176">
        <v>232</v>
      </c>
      <c r="B66" s="60" t="s">
        <v>113</v>
      </c>
      <c r="C66" s="63"/>
      <c r="D66" s="203">
        <v>0</v>
      </c>
      <c r="E66" s="200">
        <v>0</v>
      </c>
    </row>
    <row r="67" spans="1:5" x14ac:dyDescent="0.25">
      <c r="A67" s="182">
        <f>+A66+1</f>
        <v>233</v>
      </c>
      <c r="B67" s="62" t="s">
        <v>161</v>
      </c>
      <c r="C67" s="63"/>
      <c r="D67" s="59"/>
      <c r="E67" s="200"/>
    </row>
    <row r="68" spans="1:5" x14ac:dyDescent="0.25">
      <c r="A68" s="182">
        <f>+A67+1</f>
        <v>234</v>
      </c>
      <c r="B68" s="62" t="s">
        <v>115</v>
      </c>
      <c r="C68" s="63"/>
      <c r="D68" s="59"/>
      <c r="E68" s="200"/>
    </row>
    <row r="69" spans="1:5" x14ac:dyDescent="0.25">
      <c r="A69" s="182">
        <v>238</v>
      </c>
      <c r="B69" s="62" t="s">
        <v>99</v>
      </c>
      <c r="C69" s="63"/>
      <c r="D69" s="59"/>
      <c r="E69" s="200"/>
    </row>
    <row r="70" spans="1:5" x14ac:dyDescent="0.25">
      <c r="A70" s="182">
        <v>243</v>
      </c>
      <c r="B70" s="62" t="s">
        <v>162</v>
      </c>
      <c r="C70" s="63"/>
      <c r="D70" s="59"/>
      <c r="E70" s="200"/>
    </row>
    <row r="71" spans="1:5" ht="13" x14ac:dyDescent="0.3">
      <c r="A71" s="179"/>
      <c r="B71" s="64" t="s">
        <v>70</v>
      </c>
      <c r="C71" s="67"/>
      <c r="D71" s="59"/>
      <c r="E71" s="200"/>
    </row>
    <row r="72" spans="1:5" ht="13" hidden="1" x14ac:dyDescent="0.3">
      <c r="A72" s="176">
        <v>244</v>
      </c>
      <c r="B72" s="208" t="s">
        <v>286</v>
      </c>
      <c r="C72" s="63"/>
      <c r="D72" s="203">
        <v>0</v>
      </c>
      <c r="E72" s="200">
        <v>0</v>
      </c>
    </row>
    <row r="73" spans="1:5" ht="13" hidden="1" x14ac:dyDescent="0.3">
      <c r="A73" s="179"/>
      <c r="B73" s="64" t="s">
        <v>70</v>
      </c>
      <c r="C73" s="67"/>
      <c r="D73" s="59"/>
      <c r="E73" s="200"/>
    </row>
    <row r="74" spans="1:5" ht="13" x14ac:dyDescent="0.3">
      <c r="A74" s="176">
        <v>246</v>
      </c>
      <c r="B74" s="60" t="s">
        <v>100</v>
      </c>
      <c r="C74" s="63"/>
      <c r="D74" s="198">
        <v>49770.8629487</v>
      </c>
      <c r="E74" s="200">
        <f>61302927/1000</f>
        <v>61302.927000000003</v>
      </c>
    </row>
    <row r="75" spans="1:5" ht="13" x14ac:dyDescent="0.3">
      <c r="A75" s="179"/>
      <c r="B75" s="64" t="s">
        <v>70</v>
      </c>
      <c r="C75" s="67"/>
      <c r="D75" s="59"/>
      <c r="E75" s="200"/>
    </row>
    <row r="76" spans="1:5" ht="13" x14ac:dyDescent="0.3">
      <c r="A76" s="176">
        <v>253</v>
      </c>
      <c r="B76" s="60" t="s">
        <v>214</v>
      </c>
      <c r="C76" s="63"/>
      <c r="D76" s="198">
        <v>51559.482703200003</v>
      </c>
      <c r="E76" s="200">
        <f>49745183/1000</f>
        <v>49745.182999999997</v>
      </c>
    </row>
    <row r="77" spans="1:5" ht="13" x14ac:dyDescent="0.3">
      <c r="A77" s="179"/>
      <c r="B77" s="64" t="s">
        <v>70</v>
      </c>
      <c r="C77" s="67"/>
      <c r="D77" s="59"/>
      <c r="E77" s="200"/>
    </row>
    <row r="78" spans="1:5" ht="13" x14ac:dyDescent="0.3">
      <c r="A78" s="176">
        <v>256</v>
      </c>
      <c r="B78" s="60" t="s">
        <v>101</v>
      </c>
      <c r="C78" s="67"/>
      <c r="D78" s="203">
        <v>0</v>
      </c>
      <c r="E78" s="200">
        <v>0</v>
      </c>
    </row>
    <row r="79" spans="1:5" ht="13" x14ac:dyDescent="0.3">
      <c r="A79" s="179"/>
      <c r="B79" s="64" t="s">
        <v>70</v>
      </c>
      <c r="C79" s="61"/>
      <c r="D79" s="59"/>
      <c r="E79" s="200"/>
    </row>
    <row r="80" spans="1:5" ht="13" x14ac:dyDescent="0.3">
      <c r="A80" s="176">
        <v>259</v>
      </c>
      <c r="B80" s="60" t="s">
        <v>102</v>
      </c>
      <c r="C80" s="67"/>
      <c r="D80" s="198">
        <v>197567.47846400001</v>
      </c>
      <c r="E80" s="200">
        <f>189301156/1000</f>
        <v>189301.15599999999</v>
      </c>
    </row>
    <row r="81" spans="1:5" ht="13" x14ac:dyDescent="0.3">
      <c r="A81" s="179"/>
      <c r="B81" s="63" t="s">
        <v>70</v>
      </c>
      <c r="C81" s="65"/>
      <c r="D81" s="59"/>
      <c r="E81" s="200"/>
    </row>
    <row r="82" spans="1:5" ht="13" x14ac:dyDescent="0.3">
      <c r="A82" s="180"/>
      <c r="B82" s="161" t="s">
        <v>171</v>
      </c>
      <c r="C82" s="68"/>
      <c r="D82" s="209">
        <f>+D47+D58+D60+D66+D72+D74+D76+D78+D80</f>
        <v>2590074.6415136</v>
      </c>
      <c r="E82" s="209">
        <f>+E47+E58+E60+E66+E72+E74+E76+E78+E80</f>
        <v>2623039.0470000003</v>
      </c>
    </row>
    <row r="83" spans="1:5" ht="13" x14ac:dyDescent="0.3">
      <c r="A83" s="184"/>
      <c r="B83" s="162" t="s">
        <v>70</v>
      </c>
      <c r="C83" s="63"/>
      <c r="D83" s="59"/>
      <c r="E83" s="200"/>
    </row>
    <row r="84" spans="1:5" ht="13" x14ac:dyDescent="0.25">
      <c r="A84" s="181">
        <v>400</v>
      </c>
      <c r="B84" s="160" t="s">
        <v>38</v>
      </c>
      <c r="C84" s="63"/>
      <c r="D84" s="206"/>
      <c r="E84" s="200"/>
    </row>
    <row r="85" spans="1:5" ht="13" x14ac:dyDescent="0.3">
      <c r="A85" s="176">
        <v>410</v>
      </c>
      <c r="B85" s="60" t="s">
        <v>116</v>
      </c>
      <c r="C85" s="63"/>
      <c r="D85" s="206"/>
      <c r="E85" s="200"/>
    </row>
    <row r="86" spans="1:5" x14ac:dyDescent="0.25">
      <c r="A86" s="182">
        <v>411</v>
      </c>
      <c r="B86" s="63" t="s">
        <v>117</v>
      </c>
      <c r="C86" s="63"/>
      <c r="D86" s="198">
        <v>214370.30108949999</v>
      </c>
      <c r="E86" s="200">
        <f>214370301/1000</f>
        <v>214370.30100000001</v>
      </c>
    </row>
    <row r="87" spans="1:5" x14ac:dyDescent="0.25">
      <c r="A87" s="182">
        <v>415</v>
      </c>
      <c r="B87" s="63" t="s">
        <v>118</v>
      </c>
      <c r="C87" s="63"/>
      <c r="D87" s="203">
        <v>0</v>
      </c>
      <c r="E87" s="203">
        <v>0</v>
      </c>
    </row>
    <row r="88" spans="1:5" x14ac:dyDescent="0.25">
      <c r="A88" s="182">
        <v>428</v>
      </c>
      <c r="B88" s="63" t="s">
        <v>295</v>
      </c>
      <c r="C88" s="63"/>
      <c r="D88" s="203">
        <v>0</v>
      </c>
      <c r="E88" s="203">
        <v>0</v>
      </c>
    </row>
    <row r="89" spans="1:5" x14ac:dyDescent="0.25">
      <c r="A89" s="182">
        <v>418</v>
      </c>
      <c r="B89" s="63" t="s">
        <v>119</v>
      </c>
      <c r="C89" s="63"/>
      <c r="D89" s="203">
        <v>0</v>
      </c>
      <c r="E89" s="203">
        <v>0</v>
      </c>
    </row>
    <row r="90" spans="1:5" x14ac:dyDescent="0.25">
      <c r="A90" s="182">
        <v>419</v>
      </c>
      <c r="B90" s="63" t="s">
        <v>120</v>
      </c>
      <c r="C90" s="63"/>
      <c r="D90" s="198">
        <v>154107.30256529999</v>
      </c>
      <c r="E90" s="200">
        <f>154107302/1000</f>
        <v>154107.302</v>
      </c>
    </row>
    <row r="91" spans="1:5" ht="13" x14ac:dyDescent="0.3">
      <c r="A91" s="182">
        <v>423</v>
      </c>
      <c r="B91" s="63" t="s">
        <v>6</v>
      </c>
      <c r="C91" s="65"/>
      <c r="D91" s="198">
        <v>1181559.5172883</v>
      </c>
      <c r="E91" s="200">
        <f>917429587/1000</f>
        <v>917429.58700000006</v>
      </c>
    </row>
    <row r="92" spans="1:5" ht="13" x14ac:dyDescent="0.3">
      <c r="A92" s="182">
        <v>424</v>
      </c>
      <c r="B92" s="63" t="s">
        <v>121</v>
      </c>
      <c r="C92" s="65"/>
      <c r="D92" s="198">
        <v>436874.19061410002</v>
      </c>
      <c r="E92" s="200">
        <f>282426464/1000</f>
        <v>282426.46399999998</v>
      </c>
    </row>
    <row r="93" spans="1:5" ht="13" x14ac:dyDescent="0.3">
      <c r="A93" s="185"/>
      <c r="B93" s="163" t="s">
        <v>87</v>
      </c>
      <c r="C93" s="63"/>
      <c r="D93" s="209">
        <f>+SUM(D86:D92)</f>
        <v>1986911.3115572</v>
      </c>
      <c r="E93" s="209">
        <f>+SUM(E86:E92)</f>
        <v>1568333.6539999999</v>
      </c>
    </row>
    <row r="94" spans="1:5" x14ac:dyDescent="0.25">
      <c r="A94" s="182"/>
      <c r="B94" s="63"/>
      <c r="C94" s="61"/>
      <c r="D94" s="59"/>
      <c r="E94" s="200"/>
    </row>
    <row r="95" spans="1:5" ht="13" x14ac:dyDescent="0.3">
      <c r="A95" s="176">
        <v>426</v>
      </c>
      <c r="B95" s="60" t="s">
        <v>103</v>
      </c>
      <c r="C95" s="63"/>
      <c r="D95" s="210">
        <v>0</v>
      </c>
      <c r="E95" s="200">
        <v>0</v>
      </c>
    </row>
    <row r="96" spans="1:5" ht="13" x14ac:dyDescent="0.3">
      <c r="A96" s="176">
        <v>427</v>
      </c>
      <c r="B96" s="60" t="s">
        <v>172</v>
      </c>
      <c r="C96" s="61"/>
      <c r="D96" s="198">
        <v>41121.952880999997</v>
      </c>
      <c r="E96" s="200">
        <f>27844506/1000</f>
        <v>27844.506000000001</v>
      </c>
    </row>
    <row r="97" spans="1:5" ht="13" x14ac:dyDescent="0.3">
      <c r="A97" s="179"/>
      <c r="B97" s="63" t="s">
        <v>70</v>
      </c>
      <c r="C97" s="68"/>
      <c r="D97" s="59"/>
      <c r="E97" s="200"/>
    </row>
    <row r="98" spans="1:5" ht="13" x14ac:dyDescent="0.3">
      <c r="A98" s="185"/>
      <c r="B98" s="163" t="s">
        <v>75</v>
      </c>
      <c r="C98" s="61"/>
      <c r="D98" s="211">
        <f>+D96++D95+D93</f>
        <v>2028033.2644382</v>
      </c>
      <c r="E98" s="211">
        <f>+E96++E95+E93</f>
        <v>1596178.16</v>
      </c>
    </row>
    <row r="99" spans="1:5" ht="13" x14ac:dyDescent="0.3">
      <c r="A99" s="184"/>
      <c r="B99" s="164" t="s">
        <v>70</v>
      </c>
      <c r="C99" s="68"/>
      <c r="D99" s="59"/>
      <c r="E99" s="200"/>
    </row>
    <row r="100" spans="1:5" ht="13" x14ac:dyDescent="0.3">
      <c r="A100" s="185"/>
      <c r="B100" s="163" t="s">
        <v>76</v>
      </c>
      <c r="C100" s="68"/>
      <c r="D100" s="211">
        <f>+D98+D82</f>
        <v>4618107.9059517998</v>
      </c>
      <c r="E100" s="211">
        <f>+E98+E82</f>
        <v>4219217.2070000004</v>
      </c>
    </row>
    <row r="101" spans="1:5" ht="13" x14ac:dyDescent="0.3">
      <c r="A101" s="184"/>
      <c r="B101" s="162" t="s">
        <v>70</v>
      </c>
      <c r="C101" s="61"/>
      <c r="D101" s="59"/>
      <c r="E101" s="200"/>
    </row>
    <row r="102" spans="1:5" ht="13" x14ac:dyDescent="0.25">
      <c r="A102" s="185"/>
      <c r="B102" s="163" t="s">
        <v>68</v>
      </c>
      <c r="C102" s="61"/>
      <c r="D102" s="59"/>
      <c r="E102" s="200"/>
    </row>
    <row r="103" spans="1:5" ht="13" x14ac:dyDescent="0.3">
      <c r="A103" s="184"/>
      <c r="B103" s="162" t="s">
        <v>70</v>
      </c>
      <c r="C103" s="61"/>
      <c r="D103" s="59"/>
      <c r="E103" s="200"/>
    </row>
    <row r="104" spans="1:5" ht="13" x14ac:dyDescent="0.25">
      <c r="A104" s="185">
        <v>710</v>
      </c>
      <c r="B104" s="163" t="s">
        <v>122</v>
      </c>
      <c r="C104" s="61"/>
      <c r="D104" s="206">
        <f>+SUM(D105:D112)</f>
        <v>495051808.24239987</v>
      </c>
      <c r="E104" s="206">
        <f>+SUM(E105:E112)</f>
        <v>755056908.36800003</v>
      </c>
    </row>
    <row r="105" spans="1:5" ht="12.75" customHeight="1" x14ac:dyDescent="0.3">
      <c r="A105" s="179">
        <v>711</v>
      </c>
      <c r="B105" s="63" t="s">
        <v>71</v>
      </c>
      <c r="C105" s="61"/>
      <c r="D105" s="198">
        <v>356472868.22385401</v>
      </c>
      <c r="E105" s="200">
        <f>480049811003/1000</f>
        <v>480049811.00300002</v>
      </c>
    </row>
    <row r="106" spans="1:5" ht="12.75" customHeight="1" x14ac:dyDescent="0.3">
      <c r="A106" s="179">
        <v>712</v>
      </c>
      <c r="B106" s="63" t="s">
        <v>72</v>
      </c>
      <c r="C106" s="61"/>
      <c r="D106" s="198">
        <v>135772231.429344</v>
      </c>
      <c r="E106" s="200">
        <f>266472504827/1000</f>
        <v>266472504.82699999</v>
      </c>
    </row>
    <row r="107" spans="1:5" ht="12" customHeight="1" x14ac:dyDescent="0.3">
      <c r="A107" s="179">
        <v>713</v>
      </c>
      <c r="B107" s="63" t="s">
        <v>73</v>
      </c>
      <c r="C107" s="61"/>
      <c r="D107" s="198">
        <v>759449.25096780004</v>
      </c>
      <c r="E107" s="200">
        <f>556733904/1000</f>
        <v>556733.90399999998</v>
      </c>
    </row>
    <row r="108" spans="1:5" ht="14.25" customHeight="1" x14ac:dyDescent="0.3">
      <c r="A108" s="179">
        <v>714</v>
      </c>
      <c r="B108" s="63" t="s">
        <v>74</v>
      </c>
      <c r="C108" s="61"/>
      <c r="D108" s="198">
        <v>631399.72515890002</v>
      </c>
      <c r="E108" s="200">
        <f>431263173/1000</f>
        <v>431263.17300000001</v>
      </c>
    </row>
    <row r="109" spans="1:5" ht="13" x14ac:dyDescent="0.3">
      <c r="A109" s="179">
        <v>715</v>
      </c>
      <c r="B109" s="63" t="s">
        <v>124</v>
      </c>
      <c r="C109" s="68"/>
      <c r="D109" s="198">
        <v>906098.19354290003</v>
      </c>
      <c r="E109" s="200">
        <f>3860145576/1000</f>
        <v>3860145.5759999999</v>
      </c>
    </row>
    <row r="110" spans="1:5" ht="19.5" customHeight="1" x14ac:dyDescent="0.3">
      <c r="A110" s="179">
        <v>716</v>
      </c>
      <c r="B110" s="63" t="s">
        <v>125</v>
      </c>
      <c r="C110" s="68"/>
      <c r="D110" s="198">
        <v>380342.50526559999</v>
      </c>
      <c r="E110" s="200">
        <f>3555676150/1000</f>
        <v>3555676.15</v>
      </c>
    </row>
    <row r="111" spans="1:5" ht="13" x14ac:dyDescent="0.3">
      <c r="A111" s="179">
        <v>717</v>
      </c>
      <c r="B111" s="63" t="s">
        <v>126</v>
      </c>
      <c r="C111" s="68"/>
      <c r="D111" s="203">
        <v>0</v>
      </c>
      <c r="E111" s="203">
        <v>0</v>
      </c>
    </row>
    <row r="112" spans="1:5" ht="13" x14ac:dyDescent="0.3">
      <c r="A112" s="179">
        <v>718</v>
      </c>
      <c r="B112" s="165" t="s">
        <v>127</v>
      </c>
      <c r="C112" s="68"/>
      <c r="D112" s="198">
        <v>129418.9142667</v>
      </c>
      <c r="E112" s="200">
        <f>130773735/1000</f>
        <v>130773.735</v>
      </c>
    </row>
    <row r="113" spans="1:5" ht="13" x14ac:dyDescent="0.3">
      <c r="A113" s="179"/>
      <c r="B113" s="158" t="s">
        <v>70</v>
      </c>
      <c r="C113" s="68"/>
      <c r="D113" s="59"/>
      <c r="E113" s="200"/>
    </row>
    <row r="114" spans="1:5" ht="13.5" thickBot="1" x14ac:dyDescent="0.35">
      <c r="A114" s="186">
        <v>810</v>
      </c>
      <c r="B114" s="187" t="s">
        <v>123</v>
      </c>
      <c r="C114" s="188"/>
      <c r="D114" s="206">
        <f>+D104</f>
        <v>495051808.24239987</v>
      </c>
      <c r="E114" s="206">
        <f>+E104</f>
        <v>755056908.36800003</v>
      </c>
    </row>
    <row r="115" spans="1:5" ht="13" x14ac:dyDescent="0.3">
      <c r="A115" s="48"/>
      <c r="B115" s="69"/>
      <c r="C115" s="70"/>
      <c r="D115" s="103"/>
      <c r="E115" s="103"/>
    </row>
    <row r="116" spans="1:5" x14ac:dyDescent="0.25">
      <c r="A116" s="49" t="s">
        <v>86</v>
      </c>
      <c r="B116" s="71"/>
    </row>
    <row r="117" spans="1:5" x14ac:dyDescent="0.25">
      <c r="A117" s="49" t="s">
        <v>205</v>
      </c>
      <c r="B117" s="71"/>
    </row>
    <row r="118" spans="1:5" x14ac:dyDescent="0.25">
      <c r="B118" s="71"/>
    </row>
    <row r="119" spans="1:5" x14ac:dyDescent="0.25">
      <c r="B119" s="71"/>
    </row>
    <row r="124" spans="1:5" x14ac:dyDescent="0.25">
      <c r="A124" s="50" t="s">
        <v>174</v>
      </c>
    </row>
    <row r="125" spans="1:5" x14ac:dyDescent="0.25">
      <c r="A125" s="51" t="s">
        <v>175</v>
      </c>
    </row>
    <row r="126" spans="1:5" x14ac:dyDescent="0.25">
      <c r="A126" s="49" t="s">
        <v>176</v>
      </c>
    </row>
    <row r="127" spans="1:5" x14ac:dyDescent="0.25">
      <c r="A127" s="51" t="s">
        <v>177</v>
      </c>
    </row>
    <row r="128" spans="1:5" ht="15.75" customHeight="1" x14ac:dyDescent="0.25">
      <c r="A128" s="51" t="s">
        <v>178</v>
      </c>
      <c r="B128" s="51"/>
      <c r="C128" s="51"/>
      <c r="D128" s="51"/>
      <c r="E128" s="51"/>
    </row>
    <row r="129" spans="1:7" ht="15.75" customHeight="1" x14ac:dyDescent="0.25">
      <c r="A129" s="51" t="s">
        <v>179</v>
      </c>
      <c r="B129" s="51"/>
      <c r="C129" s="51"/>
      <c r="D129" s="51"/>
      <c r="E129" s="51"/>
    </row>
    <row r="130" spans="1:7" ht="12.75" customHeight="1" x14ac:dyDescent="0.25">
      <c r="A130" s="51" t="s">
        <v>291</v>
      </c>
      <c r="B130" s="51"/>
      <c r="C130" s="51"/>
      <c r="D130" s="51"/>
      <c r="E130" s="51"/>
    </row>
    <row r="131" spans="1:7" ht="27.65" customHeight="1" x14ac:dyDescent="0.25">
      <c r="A131" s="262" t="s">
        <v>302</v>
      </c>
      <c r="B131" s="262"/>
      <c r="C131" s="262"/>
      <c r="D131" s="262"/>
      <c r="E131" s="262"/>
      <c r="F131" s="212"/>
      <c r="G131" s="212"/>
    </row>
  </sheetData>
  <mergeCells count="1">
    <mergeCell ref="A131:E131"/>
  </mergeCells>
  <pageMargins left="0.51181102362204722" right="0.31496062992125984" top="0.35433070866141736" bottom="0.55118110236220474" header="0.31496062992125984" footer="0.31496062992125984"/>
  <pageSetup scale="71" orientation="portrait" r:id="rId1"/>
  <headerFooter>
    <oddFooter>&amp;R&amp;P/&amp;N</oddFooter>
  </headerFooter>
  <rowBreaks count="1" manualBreakCount="1">
    <brk id="68"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showGridLines="0" view="pageBreakPreview" topLeftCell="A43" zoomScaleNormal="130" zoomScaleSheetLayoutView="100" workbookViewId="0">
      <selection activeCell="B59" sqref="B59"/>
    </sheetView>
  </sheetViews>
  <sheetFormatPr baseColWidth="10" defaultColWidth="11.453125" defaultRowHeight="12.5" x14ac:dyDescent="0.25"/>
  <cols>
    <col min="1" max="1" width="7.90625" style="49" customWidth="1"/>
    <col min="2" max="2" width="57.90625" style="72" customWidth="1"/>
    <col min="3" max="3" width="8" style="88" customWidth="1"/>
    <col min="4" max="4" width="14.90625" style="49" customWidth="1"/>
    <col min="5" max="5" width="16.453125" style="49" customWidth="1"/>
    <col min="6" max="16384" width="11.453125" style="49"/>
  </cols>
  <sheetData>
    <row r="1" spans="1:5" x14ac:dyDescent="0.25">
      <c r="A1" s="190" t="s">
        <v>25</v>
      </c>
      <c r="B1" s="190"/>
      <c r="C1" s="190"/>
      <c r="D1" s="190"/>
    </row>
    <row r="2" spans="1:5" x14ac:dyDescent="0.25">
      <c r="A2" s="190"/>
      <c r="B2" s="190"/>
      <c r="C2" s="190"/>
      <c r="D2" s="190"/>
    </row>
    <row r="3" spans="1:5" x14ac:dyDescent="0.25">
      <c r="A3" s="190"/>
      <c r="B3" s="190"/>
      <c r="C3" s="190"/>
      <c r="D3" s="190"/>
    </row>
    <row r="4" spans="1:5" x14ac:dyDescent="0.25">
      <c r="A4" s="190"/>
      <c r="B4" s="190"/>
      <c r="C4" s="190"/>
      <c r="D4" s="190"/>
    </row>
    <row r="5" spans="1:5" ht="15.65" customHeight="1" x14ac:dyDescent="0.25">
      <c r="A5" s="190"/>
      <c r="B5" s="140" t="s">
        <v>25</v>
      </c>
      <c r="C5" s="190"/>
      <c r="D5" s="190"/>
    </row>
    <row r="6" spans="1:5" ht="15.65" customHeight="1" x14ac:dyDescent="0.25">
      <c r="A6" s="190"/>
      <c r="B6" s="37" t="s">
        <v>299</v>
      </c>
      <c r="C6" s="190"/>
      <c r="D6" s="190"/>
    </row>
    <row r="7" spans="1:5" ht="18.75" customHeight="1" x14ac:dyDescent="0.25">
      <c r="B7" s="141" t="s">
        <v>77</v>
      </c>
      <c r="C7" s="36"/>
      <c r="D7" s="193"/>
    </row>
    <row r="8" spans="1:5" ht="13" x14ac:dyDescent="0.25">
      <c r="A8" s="136"/>
      <c r="B8" s="38" t="s">
        <v>303</v>
      </c>
      <c r="C8" s="137"/>
      <c r="D8" s="193"/>
    </row>
    <row r="9" spans="1:5" ht="12.75" customHeight="1" x14ac:dyDescent="0.25">
      <c r="B9" s="140" t="s">
        <v>301</v>
      </c>
      <c r="C9" s="138"/>
      <c r="D9" s="193"/>
    </row>
    <row r="10" spans="1:5" x14ac:dyDescent="0.25">
      <c r="C10" s="139"/>
      <c r="D10" s="193"/>
    </row>
    <row r="11" spans="1:5" ht="24.75" customHeight="1" x14ac:dyDescent="0.25">
      <c r="A11" s="43"/>
      <c r="B11" s="43"/>
      <c r="C11" s="57" t="s">
        <v>21</v>
      </c>
      <c r="D11" s="57" t="s">
        <v>22</v>
      </c>
      <c r="E11" s="57" t="s">
        <v>23</v>
      </c>
    </row>
    <row r="12" spans="1:5" ht="13" x14ac:dyDescent="0.25">
      <c r="A12" s="40">
        <v>510</v>
      </c>
      <c r="B12" s="39" t="s">
        <v>41</v>
      </c>
      <c r="C12" s="61"/>
      <c r="D12" s="46"/>
      <c r="E12" s="74"/>
    </row>
    <row r="13" spans="1:5" ht="13" x14ac:dyDescent="0.3">
      <c r="A13" s="44">
        <v>511</v>
      </c>
      <c r="B13" s="75" t="s">
        <v>130</v>
      </c>
      <c r="C13" s="61"/>
      <c r="D13" s="213">
        <f>+D14-D15</f>
        <v>1361769.9233668998</v>
      </c>
      <c r="E13" s="213">
        <f>+E14-E15</f>
        <v>1632916.149</v>
      </c>
    </row>
    <row r="14" spans="1:5" ht="13" x14ac:dyDescent="0.3">
      <c r="A14" s="46">
        <v>512</v>
      </c>
      <c r="B14" s="65" t="s">
        <v>131</v>
      </c>
      <c r="C14" s="61"/>
      <c r="D14" s="194">
        <v>1688180.9011625999</v>
      </c>
      <c r="E14" s="214">
        <f>1854330804/1000</f>
        <v>1854330.804</v>
      </c>
    </row>
    <row r="15" spans="1:5" ht="13" x14ac:dyDescent="0.3">
      <c r="A15" s="46">
        <v>513</v>
      </c>
      <c r="B15" s="65" t="s">
        <v>221</v>
      </c>
      <c r="C15" s="61"/>
      <c r="D15" s="194">
        <v>326410.97779570002</v>
      </c>
      <c r="E15" s="214">
        <f>221414655/1000</f>
        <v>221414.655</v>
      </c>
    </row>
    <row r="16" spans="1:5" ht="13" x14ac:dyDescent="0.3">
      <c r="A16" s="46">
        <v>514</v>
      </c>
      <c r="B16" s="65" t="s">
        <v>215</v>
      </c>
      <c r="C16" s="61"/>
      <c r="D16" s="213">
        <v>265868.41944580001</v>
      </c>
      <c r="E16" s="213">
        <f>386451942/1000</f>
        <v>386451.94199999998</v>
      </c>
    </row>
    <row r="17" spans="1:5" ht="13" x14ac:dyDescent="0.3">
      <c r="A17" s="44">
        <v>515</v>
      </c>
      <c r="B17" s="60" t="s">
        <v>132</v>
      </c>
      <c r="C17" s="61"/>
      <c r="D17" s="213">
        <f>+D13-D16</f>
        <v>1095901.5039210999</v>
      </c>
      <c r="E17" s="213">
        <f>+E13-E16</f>
        <v>1246464.2069999999</v>
      </c>
    </row>
    <row r="18" spans="1:5" ht="13" x14ac:dyDescent="0.3">
      <c r="A18" s="47"/>
      <c r="B18" s="65" t="s">
        <v>70</v>
      </c>
      <c r="C18" s="61"/>
      <c r="D18" s="46"/>
      <c r="E18" s="214"/>
    </row>
    <row r="19" spans="1:5" ht="13" x14ac:dyDescent="0.3">
      <c r="A19" s="44">
        <v>516</v>
      </c>
      <c r="B19" s="60" t="s">
        <v>164</v>
      </c>
      <c r="C19" s="61"/>
      <c r="D19" s="213">
        <f>+D20+D24</f>
        <v>-23845.419026799995</v>
      </c>
      <c r="E19" s="213">
        <f>+E20+E24</f>
        <v>31259.152999999998</v>
      </c>
    </row>
    <row r="20" spans="1:5" ht="24.65" customHeight="1" x14ac:dyDescent="0.3">
      <c r="A20" s="46">
        <v>517</v>
      </c>
      <c r="B20" s="64" t="s">
        <v>163</v>
      </c>
      <c r="C20" s="61"/>
      <c r="D20" s="213">
        <f>+D21+D22</f>
        <v>-43248.995694699996</v>
      </c>
      <c r="E20" s="213">
        <f>+E21+E22</f>
        <v>10395.883999999998</v>
      </c>
    </row>
    <row r="21" spans="1:5" ht="13" x14ac:dyDescent="0.3">
      <c r="A21" s="46">
        <v>518</v>
      </c>
      <c r="B21" s="65" t="s">
        <v>165</v>
      </c>
      <c r="C21" s="61"/>
      <c r="D21" s="194">
        <v>39444.090473600001</v>
      </c>
      <c r="E21" s="214">
        <f>35251500/1000</f>
        <v>35251.5</v>
      </c>
    </row>
    <row r="22" spans="1:5" ht="13" x14ac:dyDescent="0.3">
      <c r="A22" s="46">
        <v>519</v>
      </c>
      <c r="B22" s="65" t="s">
        <v>78</v>
      </c>
      <c r="C22" s="61"/>
      <c r="D22" s="194">
        <v>-82693.086168299997</v>
      </c>
      <c r="E22" s="214">
        <f>-24855616/1000</f>
        <v>-24855.616000000002</v>
      </c>
    </row>
    <row r="23" spans="1:5" ht="13" x14ac:dyDescent="0.3">
      <c r="A23" s="47"/>
      <c r="B23" s="65" t="s">
        <v>70</v>
      </c>
      <c r="C23" s="61"/>
      <c r="D23" s="46"/>
      <c r="E23" s="214"/>
    </row>
    <row r="24" spans="1:5" ht="13" x14ac:dyDescent="0.3">
      <c r="A24" s="44">
        <v>520</v>
      </c>
      <c r="B24" s="60" t="s">
        <v>133</v>
      </c>
      <c r="C24" s="61"/>
      <c r="D24" s="213">
        <f>+D25+D26</f>
        <v>19403.576667900001</v>
      </c>
      <c r="E24" s="213">
        <f>+E25+E26</f>
        <v>20863.269</v>
      </c>
    </row>
    <row r="25" spans="1:5" ht="13" x14ac:dyDescent="0.3">
      <c r="A25" s="46">
        <v>521</v>
      </c>
      <c r="B25" s="65" t="s">
        <v>166</v>
      </c>
      <c r="C25" s="61"/>
      <c r="D25" s="194">
        <v>3642.8599872</v>
      </c>
      <c r="E25" s="214">
        <f>-5301806/1000</f>
        <v>-5301.8059999999996</v>
      </c>
    </row>
    <row r="26" spans="1:5" ht="13" x14ac:dyDescent="0.3">
      <c r="A26" s="46">
        <v>522</v>
      </c>
      <c r="B26" s="65" t="s">
        <v>167</v>
      </c>
      <c r="C26" s="61"/>
      <c r="D26" s="194">
        <v>15760.716680699999</v>
      </c>
      <c r="E26" s="214">
        <f>26165075/1000</f>
        <v>26165.075000000001</v>
      </c>
    </row>
    <row r="27" spans="1:5" ht="13" x14ac:dyDescent="0.3">
      <c r="A27" s="47"/>
      <c r="B27" s="65" t="s">
        <v>70</v>
      </c>
      <c r="C27" s="61"/>
      <c r="D27" s="46"/>
      <c r="E27" s="214"/>
    </row>
    <row r="28" spans="1:5" ht="13" x14ac:dyDescent="0.3">
      <c r="A28" s="44">
        <v>523</v>
      </c>
      <c r="B28" s="60" t="s">
        <v>134</v>
      </c>
      <c r="C28" s="61"/>
      <c r="D28" s="215">
        <f>+D17-D19</f>
        <v>1119746.9229478999</v>
      </c>
      <c r="E28" s="215">
        <f>+E17-E19</f>
        <v>1215205.054</v>
      </c>
    </row>
    <row r="29" spans="1:5" ht="13" x14ac:dyDescent="0.3">
      <c r="A29" s="47"/>
      <c r="B29" s="65" t="s">
        <v>70</v>
      </c>
      <c r="C29" s="61"/>
      <c r="D29" s="46"/>
      <c r="E29" s="214"/>
    </row>
    <row r="30" spans="1:5" ht="13" x14ac:dyDescent="0.25">
      <c r="A30" s="40">
        <v>524</v>
      </c>
      <c r="B30" s="39" t="s">
        <v>81</v>
      </c>
      <c r="C30" s="61"/>
      <c r="D30" s="76"/>
      <c r="E30" s="214"/>
    </row>
    <row r="31" spans="1:5" ht="13" x14ac:dyDescent="0.3">
      <c r="A31" s="47">
        <v>525</v>
      </c>
      <c r="B31" s="65" t="s">
        <v>135</v>
      </c>
      <c r="C31" s="61"/>
      <c r="D31" s="213">
        <v>477853.71566300001</v>
      </c>
      <c r="E31" s="216">
        <f>692998604/1000</f>
        <v>692998.60400000005</v>
      </c>
    </row>
    <row r="32" spans="1:5" ht="13" x14ac:dyDescent="0.3">
      <c r="A32" s="47">
        <v>526</v>
      </c>
      <c r="B32" s="65" t="s">
        <v>136</v>
      </c>
      <c r="C32" s="61"/>
      <c r="D32" s="194">
        <v>34388.100037900003</v>
      </c>
      <c r="E32" s="217">
        <f>4912146/1000</f>
        <v>4912.1459999999997</v>
      </c>
    </row>
    <row r="33" spans="1:5" ht="13" x14ac:dyDescent="0.3">
      <c r="A33" s="47">
        <v>527</v>
      </c>
      <c r="B33" s="65" t="s">
        <v>222</v>
      </c>
      <c r="C33" s="61"/>
      <c r="D33" s="218">
        <f>+D31-D32</f>
        <v>443465.61562509998</v>
      </c>
      <c r="E33" s="218">
        <f>+E31-E32</f>
        <v>688086.4580000001</v>
      </c>
    </row>
    <row r="34" spans="1:5" ht="23.4" customHeight="1" x14ac:dyDescent="0.3">
      <c r="A34" s="47">
        <v>528</v>
      </c>
      <c r="B34" s="65" t="s">
        <v>137</v>
      </c>
      <c r="C34" s="61"/>
      <c r="D34" s="194">
        <v>38303.467921700001</v>
      </c>
      <c r="E34" s="217">
        <f>161057670/1000</f>
        <v>161057.67000000001</v>
      </c>
    </row>
    <row r="35" spans="1:5" ht="13" x14ac:dyDescent="0.3">
      <c r="A35" s="47"/>
      <c r="B35" s="65" t="s">
        <v>70</v>
      </c>
      <c r="C35" s="61"/>
      <c r="D35" s="46"/>
      <c r="E35" s="214"/>
    </row>
    <row r="36" spans="1:5" ht="13" x14ac:dyDescent="0.3">
      <c r="A36" s="45">
        <v>529</v>
      </c>
      <c r="B36" s="60" t="s">
        <v>138</v>
      </c>
      <c r="C36" s="61"/>
      <c r="D36" s="215">
        <f>+D33-D34</f>
        <v>405162.1477034</v>
      </c>
      <c r="E36" s="215">
        <f>+E33-E34</f>
        <v>527028.78800000006</v>
      </c>
    </row>
    <row r="37" spans="1:5" ht="13" x14ac:dyDescent="0.3">
      <c r="A37" s="47"/>
      <c r="B37" s="65" t="s">
        <v>70</v>
      </c>
      <c r="C37" s="61"/>
      <c r="D37" s="46"/>
      <c r="E37" s="214"/>
    </row>
    <row r="38" spans="1:5" ht="13" x14ac:dyDescent="0.3">
      <c r="A38" s="40">
        <v>530</v>
      </c>
      <c r="B38" s="39" t="s">
        <v>82</v>
      </c>
      <c r="C38" s="61"/>
      <c r="D38" s="219">
        <f>+D40+D45</f>
        <v>635971.62616430002</v>
      </c>
      <c r="E38" s="219">
        <f>+E40+E45</f>
        <v>647716.58299999998</v>
      </c>
    </row>
    <row r="39" spans="1:5" ht="13" x14ac:dyDescent="0.3">
      <c r="A39" s="47"/>
      <c r="B39" s="65" t="s">
        <v>70</v>
      </c>
      <c r="C39" s="61"/>
      <c r="D39" s="46"/>
      <c r="E39" s="214"/>
    </row>
    <row r="40" spans="1:5" ht="13" x14ac:dyDescent="0.3">
      <c r="A40" s="47">
        <v>531</v>
      </c>
      <c r="B40" s="65" t="s">
        <v>139</v>
      </c>
      <c r="C40" s="61"/>
      <c r="D40" s="213">
        <f>+SUM(D41:D43)</f>
        <v>251785.40338930002</v>
      </c>
      <c r="E40" s="213">
        <f>+SUM(E41:E43)</f>
        <v>272481.59700000001</v>
      </c>
    </row>
    <row r="41" spans="1:5" ht="18" customHeight="1" x14ac:dyDescent="0.25">
      <c r="A41" s="46">
        <v>532</v>
      </c>
      <c r="B41" s="63" t="s">
        <v>140</v>
      </c>
      <c r="C41" s="61"/>
      <c r="D41" s="194">
        <v>158793.41579190001</v>
      </c>
      <c r="E41" s="217">
        <f>174703945/1000</f>
        <v>174703.94500000001</v>
      </c>
    </row>
    <row r="42" spans="1:5" x14ac:dyDescent="0.25">
      <c r="A42" s="46">
        <v>533</v>
      </c>
      <c r="B42" s="63" t="s">
        <v>142</v>
      </c>
      <c r="C42" s="61"/>
      <c r="D42" s="194">
        <v>57997.143515800002</v>
      </c>
      <c r="E42" s="217">
        <f>57502748/1000</f>
        <v>57502.748</v>
      </c>
    </row>
    <row r="43" spans="1:5" x14ac:dyDescent="0.25">
      <c r="A43" s="46">
        <v>534</v>
      </c>
      <c r="B43" s="63" t="s">
        <v>141</v>
      </c>
      <c r="C43" s="61"/>
      <c r="D43" s="194">
        <v>34994.8440816</v>
      </c>
      <c r="E43" s="217">
        <f>40274904/1000</f>
        <v>40274.904000000002</v>
      </c>
    </row>
    <row r="44" spans="1:5" ht="13" x14ac:dyDescent="0.3">
      <c r="A44" s="47"/>
      <c r="B44" s="63" t="s">
        <v>70</v>
      </c>
      <c r="C44" s="61"/>
      <c r="D44" s="46"/>
      <c r="E44" s="74"/>
    </row>
    <row r="45" spans="1:5" ht="13" x14ac:dyDescent="0.3">
      <c r="A45" s="47">
        <v>535</v>
      </c>
      <c r="B45" s="65" t="s">
        <v>216</v>
      </c>
      <c r="C45" s="61"/>
      <c r="D45" s="213">
        <f>+D46-D47</f>
        <v>384186.22277499997</v>
      </c>
      <c r="E45" s="213">
        <f>+E46-E47</f>
        <v>375234.98599999998</v>
      </c>
    </row>
    <row r="46" spans="1:5" x14ac:dyDescent="0.25">
      <c r="A46" s="46" t="s">
        <v>276</v>
      </c>
      <c r="B46" s="63" t="s">
        <v>217</v>
      </c>
      <c r="C46" s="61"/>
      <c r="D46" s="194">
        <v>395946.29436509998</v>
      </c>
      <c r="E46" s="217">
        <f>387368322/1000</f>
        <v>387368.32199999999</v>
      </c>
    </row>
    <row r="47" spans="1:5" x14ac:dyDescent="0.25">
      <c r="A47" s="46">
        <v>538</v>
      </c>
      <c r="B47" s="63" t="s">
        <v>218</v>
      </c>
      <c r="C47" s="61"/>
      <c r="D47" s="194">
        <v>11760.0715901</v>
      </c>
      <c r="E47" s="217">
        <f>12133336/1000</f>
        <v>12133.335999999999</v>
      </c>
    </row>
    <row r="48" spans="1:5" ht="13" x14ac:dyDescent="0.3">
      <c r="A48" s="47"/>
      <c r="B48" s="65" t="s">
        <v>70</v>
      </c>
      <c r="C48" s="61"/>
      <c r="D48" s="213"/>
      <c r="E48" s="74"/>
    </row>
    <row r="49" spans="1:5" ht="26" x14ac:dyDescent="0.3">
      <c r="A49" s="47">
        <v>539</v>
      </c>
      <c r="B49" s="65" t="s">
        <v>275</v>
      </c>
      <c r="C49" s="61"/>
      <c r="D49" s="213">
        <v>42112.284998199997</v>
      </c>
      <c r="E49" s="216">
        <f>43470169/1000</f>
        <v>43470.169000000002</v>
      </c>
    </row>
    <row r="50" spans="1:5" ht="13" x14ac:dyDescent="0.3">
      <c r="A50" s="47"/>
      <c r="B50" s="65" t="s">
        <v>70</v>
      </c>
      <c r="C50" s="61"/>
      <c r="D50" s="46"/>
      <c r="E50" s="74"/>
    </row>
    <row r="51" spans="1:5" ht="13" x14ac:dyDescent="0.3">
      <c r="A51" s="44">
        <v>540</v>
      </c>
      <c r="B51" s="60" t="s">
        <v>168</v>
      </c>
      <c r="C51" s="61"/>
      <c r="D51" s="215">
        <f>+D28-D36-D38+D49</f>
        <v>120725.43407839988</v>
      </c>
      <c r="E51" s="215">
        <f>+E28-E36-E38+E49</f>
        <v>83929.851999999955</v>
      </c>
    </row>
    <row r="52" spans="1:5" ht="13" x14ac:dyDescent="0.3">
      <c r="A52" s="47"/>
      <c r="B52" s="65" t="s">
        <v>70</v>
      </c>
      <c r="C52" s="61"/>
      <c r="D52" s="46"/>
      <c r="E52" s="74"/>
    </row>
    <row r="53" spans="1:5" ht="13" x14ac:dyDescent="0.3">
      <c r="A53" s="40">
        <v>541</v>
      </c>
      <c r="B53" s="39" t="s">
        <v>42</v>
      </c>
      <c r="C53" s="61"/>
      <c r="D53" s="215">
        <f>+D54+D55-D56-D57</f>
        <v>239095.92971240001</v>
      </c>
      <c r="E53" s="215">
        <f>+E54+E55-E56-E57</f>
        <v>172194.70099999997</v>
      </c>
    </row>
    <row r="54" spans="1:5" ht="13" x14ac:dyDescent="0.3">
      <c r="A54" s="46">
        <v>542</v>
      </c>
      <c r="B54" s="65" t="s">
        <v>223</v>
      </c>
      <c r="C54" s="61"/>
      <c r="D54" s="213">
        <v>225315.0502113</v>
      </c>
      <c r="E54" s="216">
        <f>172310531/1000</f>
        <v>172310.53099999999</v>
      </c>
    </row>
    <row r="55" spans="1:5" ht="15" customHeight="1" x14ac:dyDescent="0.3">
      <c r="A55" s="46">
        <v>543</v>
      </c>
      <c r="B55" s="65" t="s">
        <v>143</v>
      </c>
      <c r="C55" s="61"/>
      <c r="D55" s="213">
        <v>26771.6033876</v>
      </c>
      <c r="E55" s="216">
        <f>11763846/1000</f>
        <v>11763.846</v>
      </c>
    </row>
    <row r="56" spans="1:5" ht="13" x14ac:dyDescent="0.3">
      <c r="A56" s="46">
        <v>544</v>
      </c>
      <c r="B56" s="65" t="s">
        <v>224</v>
      </c>
      <c r="C56" s="61"/>
      <c r="D56" s="200">
        <v>0</v>
      </c>
      <c r="E56" s="200">
        <v>0</v>
      </c>
    </row>
    <row r="57" spans="1:5" ht="13" x14ac:dyDescent="0.3">
      <c r="A57" s="46">
        <v>545</v>
      </c>
      <c r="B57" s="65" t="s">
        <v>225</v>
      </c>
      <c r="C57" s="61"/>
      <c r="D57" s="213">
        <v>12990.7238865</v>
      </c>
      <c r="E57" s="216">
        <f>11879676/1000</f>
        <v>11879.675999999999</v>
      </c>
    </row>
    <row r="58" spans="1:5" ht="13" x14ac:dyDescent="0.3">
      <c r="A58" s="46"/>
      <c r="B58" s="65" t="s">
        <v>70</v>
      </c>
      <c r="C58" s="61"/>
      <c r="D58" s="46"/>
      <c r="E58" s="74"/>
    </row>
    <row r="59" spans="1:5" ht="13.5" customHeight="1" x14ac:dyDescent="0.3">
      <c r="A59" s="47">
        <v>546</v>
      </c>
      <c r="B59" s="65" t="s">
        <v>288</v>
      </c>
      <c r="C59" s="61"/>
      <c r="D59" s="213">
        <v>-2727.883253</v>
      </c>
      <c r="E59" s="200">
        <v>0</v>
      </c>
    </row>
    <row r="60" spans="1:5" ht="13" x14ac:dyDescent="0.3">
      <c r="A60" s="46"/>
      <c r="B60" s="65"/>
      <c r="C60" s="61"/>
      <c r="D60" s="46"/>
      <c r="E60" s="74"/>
    </row>
    <row r="61" spans="1:5" ht="13" x14ac:dyDescent="0.3">
      <c r="A61" s="47">
        <v>549</v>
      </c>
      <c r="B61" s="65" t="s">
        <v>287</v>
      </c>
      <c r="C61" s="61"/>
      <c r="D61" s="213">
        <v>2444.7576829</v>
      </c>
      <c r="E61" s="216">
        <f>-12983330/1000</f>
        <v>-12983.33</v>
      </c>
    </row>
    <row r="62" spans="1:5" ht="13" x14ac:dyDescent="0.3">
      <c r="A62" s="46"/>
      <c r="B62" s="65"/>
      <c r="C62" s="61"/>
      <c r="D62" s="46"/>
      <c r="E62" s="74"/>
    </row>
    <row r="63" spans="1:5" ht="13" x14ac:dyDescent="0.3">
      <c r="A63" s="47">
        <v>555</v>
      </c>
      <c r="B63" s="65" t="s">
        <v>144</v>
      </c>
      <c r="C63" s="61"/>
      <c r="D63" s="213">
        <f>+D65-D66</f>
        <v>85731.3531735</v>
      </c>
      <c r="E63" s="213">
        <f>+E65-E66</f>
        <v>74159.992999999988</v>
      </c>
    </row>
    <row r="64" spans="1:5" ht="13" x14ac:dyDescent="0.3">
      <c r="A64" s="46"/>
      <c r="B64" s="65" t="s">
        <v>70</v>
      </c>
      <c r="C64" s="61"/>
      <c r="D64" s="46"/>
      <c r="E64" s="74"/>
    </row>
    <row r="65" spans="1:5" ht="13" x14ac:dyDescent="0.3">
      <c r="A65" s="46">
        <v>556</v>
      </c>
      <c r="B65" s="65" t="s">
        <v>145</v>
      </c>
      <c r="C65" s="61"/>
      <c r="D65" s="194">
        <v>188948.2516049</v>
      </c>
      <c r="E65" s="217">
        <f>185726422/1000</f>
        <v>185726.42199999999</v>
      </c>
    </row>
    <row r="66" spans="1:5" ht="13" x14ac:dyDescent="0.3">
      <c r="A66" s="46">
        <v>557</v>
      </c>
      <c r="B66" s="65" t="s">
        <v>219</v>
      </c>
      <c r="C66" s="61"/>
      <c r="D66" s="194">
        <v>103216.8984314</v>
      </c>
      <c r="E66" s="217">
        <f>111566429/1000</f>
        <v>111566.429</v>
      </c>
    </row>
    <row r="67" spans="1:5" ht="13" x14ac:dyDescent="0.3">
      <c r="A67" s="46"/>
      <c r="B67" s="65" t="s">
        <v>70</v>
      </c>
      <c r="C67" s="61"/>
      <c r="D67" s="46"/>
      <c r="E67" s="74"/>
    </row>
    <row r="68" spans="1:5" ht="13" x14ac:dyDescent="0.3">
      <c r="A68" s="47">
        <v>558</v>
      </c>
      <c r="B68" s="65" t="s">
        <v>146</v>
      </c>
      <c r="C68" s="61"/>
      <c r="D68" s="213">
        <f>+D69-D70</f>
        <v>-8395.4007801000043</v>
      </c>
      <c r="E68" s="213">
        <f>+E69-E70</f>
        <v>14965.210999999996</v>
      </c>
    </row>
    <row r="69" spans="1:5" x14ac:dyDescent="0.25">
      <c r="A69" s="46">
        <v>559</v>
      </c>
      <c r="B69" s="63" t="s">
        <v>79</v>
      </c>
      <c r="C69" s="61"/>
      <c r="D69" s="194">
        <v>39329.791191099997</v>
      </c>
      <c r="E69" s="217">
        <f>52451056/1000</f>
        <v>52451.055999999997</v>
      </c>
    </row>
    <row r="70" spans="1:5" x14ac:dyDescent="0.25">
      <c r="A70" s="46">
        <v>560</v>
      </c>
      <c r="B70" s="63" t="s">
        <v>80</v>
      </c>
      <c r="C70" s="61"/>
      <c r="D70" s="194">
        <v>47725.191971200002</v>
      </c>
      <c r="E70" s="217">
        <f>37485845/1000</f>
        <v>37485.845000000001</v>
      </c>
    </row>
    <row r="71" spans="1:5" ht="13" x14ac:dyDescent="0.3">
      <c r="A71" s="46"/>
      <c r="B71" s="65" t="s">
        <v>70</v>
      </c>
      <c r="C71" s="61"/>
      <c r="D71" s="46"/>
      <c r="E71" s="74"/>
    </row>
    <row r="72" spans="1:5" ht="13" x14ac:dyDescent="0.3">
      <c r="A72" s="47">
        <v>561</v>
      </c>
      <c r="B72" s="65" t="s">
        <v>147</v>
      </c>
      <c r="C72" s="61"/>
      <c r="D72" s="215">
        <f>+D51+D53+D59+D61+D63+D68</f>
        <v>436874.19061409985</v>
      </c>
      <c r="E72" s="215">
        <f>+E51+E53+E59+E61+E63+E68</f>
        <v>332266.42699999991</v>
      </c>
    </row>
    <row r="73" spans="1:5" ht="15.75" customHeight="1" x14ac:dyDescent="0.3">
      <c r="A73" s="47">
        <v>562</v>
      </c>
      <c r="B73" s="65" t="s">
        <v>148</v>
      </c>
      <c r="C73" s="61"/>
      <c r="D73" s="220">
        <v>0</v>
      </c>
      <c r="E73" s="220">
        <v>0</v>
      </c>
    </row>
    <row r="74" spans="1:5" ht="23.4" customHeight="1" x14ac:dyDescent="0.3">
      <c r="A74" s="47">
        <v>565</v>
      </c>
      <c r="B74" s="65" t="s">
        <v>149</v>
      </c>
      <c r="C74" s="61"/>
      <c r="D74" s="220">
        <v>0</v>
      </c>
      <c r="E74" s="220">
        <v>0</v>
      </c>
    </row>
    <row r="75" spans="1:5" ht="13" x14ac:dyDescent="0.3">
      <c r="A75" s="47"/>
      <c r="B75" s="65" t="s">
        <v>70</v>
      </c>
      <c r="C75" s="61"/>
      <c r="D75" s="46"/>
      <c r="E75" s="74"/>
    </row>
    <row r="76" spans="1:5" ht="13" x14ac:dyDescent="0.3">
      <c r="A76" s="40">
        <v>568</v>
      </c>
      <c r="B76" s="39" t="s">
        <v>169</v>
      </c>
      <c r="C76" s="61"/>
      <c r="D76" s="221">
        <f>+D72-D73+D74</f>
        <v>436874.19061409985</v>
      </c>
      <c r="E76" s="221">
        <f>+E72-E73+E74</f>
        <v>332266.42699999991</v>
      </c>
    </row>
    <row r="77" spans="1:5" ht="13" x14ac:dyDescent="0.3">
      <c r="A77" s="48"/>
      <c r="B77" s="77"/>
      <c r="C77" s="78"/>
      <c r="D77" s="79"/>
      <c r="E77" s="80"/>
    </row>
    <row r="78" spans="1:5" x14ac:dyDescent="0.25">
      <c r="A78" s="49" t="s">
        <v>86</v>
      </c>
      <c r="C78" s="78"/>
      <c r="D78" s="81"/>
      <c r="E78" s="81"/>
    </row>
    <row r="79" spans="1:5" x14ac:dyDescent="0.25">
      <c r="A79" s="49" t="s">
        <v>180</v>
      </c>
      <c r="B79" s="73"/>
      <c r="C79" s="78"/>
      <c r="D79" s="81"/>
      <c r="E79" s="81"/>
    </row>
    <row r="80" spans="1:5" x14ac:dyDescent="0.25">
      <c r="B80" s="73"/>
      <c r="C80" s="78"/>
      <c r="D80" s="81"/>
      <c r="E80" s="81"/>
    </row>
    <row r="81" spans="1:5" x14ac:dyDescent="0.25">
      <c r="B81" s="73"/>
      <c r="C81" s="78"/>
      <c r="D81" s="81"/>
      <c r="E81" s="81"/>
    </row>
    <row r="82" spans="1:5" ht="13" x14ac:dyDescent="0.3">
      <c r="A82" s="82"/>
      <c r="B82" s="73"/>
      <c r="C82" s="78"/>
      <c r="D82" s="81"/>
      <c r="E82" s="81"/>
    </row>
    <row r="83" spans="1:5" x14ac:dyDescent="0.25">
      <c r="A83" s="83"/>
      <c r="B83" s="84"/>
      <c r="C83" s="78"/>
      <c r="D83" s="81"/>
    </row>
    <row r="84" spans="1:5" x14ac:dyDescent="0.25">
      <c r="A84" s="85"/>
      <c r="B84" s="73"/>
      <c r="C84" s="78"/>
      <c r="D84" s="81"/>
      <c r="E84" s="81"/>
    </row>
    <row r="85" spans="1:5" ht="13" x14ac:dyDescent="0.3">
      <c r="A85" s="82"/>
      <c r="B85" s="86"/>
      <c r="C85" s="264"/>
      <c r="D85" s="264"/>
      <c r="E85" s="264"/>
    </row>
    <row r="86" spans="1:5" ht="13" x14ac:dyDescent="0.3">
      <c r="A86" s="82"/>
      <c r="B86" s="86"/>
      <c r="C86" s="191"/>
      <c r="D86" s="191"/>
      <c r="E86" s="191"/>
    </row>
    <row r="87" spans="1:5" ht="13" x14ac:dyDescent="0.3">
      <c r="A87" s="82"/>
      <c r="B87" s="86"/>
      <c r="C87" s="191"/>
      <c r="D87" s="191"/>
      <c r="E87" s="191"/>
    </row>
    <row r="88" spans="1:5" x14ac:dyDescent="0.25">
      <c r="A88" s="50" t="s">
        <v>174</v>
      </c>
    </row>
    <row r="89" spans="1:5" x14ac:dyDescent="0.25">
      <c r="A89" s="51" t="s">
        <v>182</v>
      </c>
    </row>
    <row r="90" spans="1:5" x14ac:dyDescent="0.25">
      <c r="A90" s="49" t="s">
        <v>181</v>
      </c>
    </row>
    <row r="91" spans="1:5" x14ac:dyDescent="0.25">
      <c r="A91" s="263" t="s">
        <v>184</v>
      </c>
      <c r="B91" s="263"/>
      <c r="C91" s="263"/>
      <c r="D91" s="263"/>
      <c r="E91" s="263"/>
    </row>
    <row r="92" spans="1:5" x14ac:dyDescent="0.25">
      <c r="A92" s="263" t="s">
        <v>183</v>
      </c>
      <c r="B92" s="263"/>
      <c r="C92" s="192"/>
      <c r="D92" s="192"/>
      <c r="E92" s="192"/>
    </row>
    <row r="93" spans="1:5" x14ac:dyDescent="0.25">
      <c r="A93" s="263" t="s">
        <v>292</v>
      </c>
      <c r="B93" s="263"/>
      <c r="C93" s="263"/>
      <c r="D93" s="263"/>
      <c r="E93" s="263"/>
    </row>
  </sheetData>
  <mergeCells count="4">
    <mergeCell ref="A93:E93"/>
    <mergeCell ref="C85:E85"/>
    <mergeCell ref="A91:E91"/>
    <mergeCell ref="A92:B92"/>
  </mergeCells>
  <pageMargins left="0.31496062992125984" right="0.31496062992125984" top="0.35433070866141736" bottom="0.55118110236220474" header="0.31496062992125984" footer="0.31496062992125984"/>
  <pageSetup scale="85" orientation="portrait" r:id="rId1"/>
  <headerFooter>
    <oddFooter>&amp;R&amp;P/&amp;N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F66"/>
  <sheetViews>
    <sheetView showGridLines="0" view="pageBreakPreview" topLeftCell="B1" zoomScale="80" zoomScaleNormal="120" zoomScaleSheetLayoutView="80" workbookViewId="0">
      <selection activeCell="D22" sqref="D22"/>
    </sheetView>
  </sheetViews>
  <sheetFormatPr baseColWidth="10" defaultColWidth="11.453125" defaultRowHeight="12.5" x14ac:dyDescent="0.25"/>
  <cols>
    <col min="1" max="1" width="11.453125" style="41" hidden="1" customWidth="1"/>
    <col min="2" max="2" width="8.6328125" style="41" customWidth="1"/>
    <col min="3" max="3" width="73.08984375" style="104" customWidth="1"/>
    <col min="4" max="4" width="10.36328125" style="104" customWidth="1"/>
    <col min="5" max="5" width="13.90625" style="41" customWidth="1"/>
    <col min="6" max="6" width="15.54296875" style="41" customWidth="1"/>
    <col min="7" max="7" width="15.36328125" style="41" customWidth="1"/>
    <col min="8" max="16384" width="11.453125" style="41"/>
  </cols>
  <sheetData>
    <row r="5" spans="2:6" ht="14.5" x14ac:dyDescent="0.25">
      <c r="C5" s="135" t="s">
        <v>25</v>
      </c>
    </row>
    <row r="6" spans="2:6" ht="14.5" x14ac:dyDescent="0.25">
      <c r="C6" s="135" t="s">
        <v>299</v>
      </c>
    </row>
    <row r="7" spans="2:6" ht="14.5" x14ac:dyDescent="0.25">
      <c r="C7" s="135" t="s">
        <v>304</v>
      </c>
      <c r="D7" s="54"/>
    </row>
    <row r="8" spans="2:6" ht="13" x14ac:dyDescent="0.25">
      <c r="C8" s="38" t="s">
        <v>303</v>
      </c>
      <c r="D8" s="28"/>
    </row>
    <row r="9" spans="2:6" ht="17.399999999999999" customHeight="1" x14ac:dyDescent="0.25">
      <c r="C9" s="135" t="s">
        <v>301</v>
      </c>
      <c r="D9" s="91"/>
    </row>
    <row r="10" spans="2:6" ht="18" customHeight="1" x14ac:dyDescent="0.25">
      <c r="D10" s="91"/>
    </row>
    <row r="11" spans="2:6" ht="15.75" customHeight="1" x14ac:dyDescent="0.25">
      <c r="B11" s="43"/>
      <c r="C11" s="43"/>
      <c r="D11" s="57" t="s">
        <v>21</v>
      </c>
      <c r="E11" s="57" t="s">
        <v>22</v>
      </c>
      <c r="F11" s="57" t="s">
        <v>23</v>
      </c>
    </row>
    <row r="12" spans="2:6" ht="13" x14ac:dyDescent="0.25">
      <c r="B12" s="90">
        <v>424</v>
      </c>
      <c r="C12" s="134" t="s">
        <v>298</v>
      </c>
      <c r="D12" s="94"/>
      <c r="E12" s="216">
        <f>436874190.6/1000</f>
        <v>436874.19060000003</v>
      </c>
      <c r="F12" s="216">
        <f>332266427/1000</f>
        <v>332266.42700000003</v>
      </c>
    </row>
    <row r="13" spans="2:6" x14ac:dyDescent="0.25">
      <c r="B13" s="170"/>
      <c r="C13" s="171"/>
      <c r="D13" s="94"/>
      <c r="E13" s="92"/>
      <c r="F13" s="92"/>
    </row>
    <row r="14" spans="2:6" ht="13" x14ac:dyDescent="0.25">
      <c r="B14" s="90">
        <v>450</v>
      </c>
      <c r="C14" s="89" t="s">
        <v>4</v>
      </c>
      <c r="D14" s="94"/>
      <c r="E14" s="200"/>
      <c r="F14" s="200"/>
    </row>
    <row r="15" spans="2:6" x14ac:dyDescent="0.25">
      <c r="B15" s="93"/>
      <c r="C15" s="94"/>
      <c r="D15" s="94"/>
      <c r="E15" s="92"/>
      <c r="F15" s="92"/>
    </row>
    <row r="16" spans="2:6" ht="13" x14ac:dyDescent="0.3">
      <c r="B16" s="95">
        <v>451</v>
      </c>
      <c r="C16" s="96" t="s">
        <v>84</v>
      </c>
      <c r="D16" s="94"/>
      <c r="E16" s="200">
        <v>0</v>
      </c>
      <c r="F16" s="200">
        <v>0</v>
      </c>
    </row>
    <row r="17" spans="1:6" ht="13" x14ac:dyDescent="0.3">
      <c r="B17" s="97">
        <v>452</v>
      </c>
      <c r="C17" s="98" t="s">
        <v>128</v>
      </c>
      <c r="D17" s="94"/>
      <c r="E17" s="92"/>
      <c r="F17" s="92"/>
    </row>
    <row r="18" spans="1:6" ht="13" x14ac:dyDescent="0.3">
      <c r="B18" s="97">
        <v>453</v>
      </c>
      <c r="C18" s="157" t="s">
        <v>277</v>
      </c>
      <c r="D18" s="94"/>
      <c r="E18" s="92"/>
      <c r="F18" s="92"/>
    </row>
    <row r="19" spans="1:6" ht="13" x14ac:dyDescent="0.3">
      <c r="B19" s="97"/>
      <c r="C19" s="99"/>
      <c r="D19" s="94"/>
      <c r="E19" s="92"/>
      <c r="F19" s="92"/>
    </row>
    <row r="20" spans="1:6" ht="13" x14ac:dyDescent="0.3">
      <c r="B20" s="97">
        <v>454</v>
      </c>
      <c r="C20" s="98" t="s">
        <v>154</v>
      </c>
      <c r="D20" s="94"/>
      <c r="E20" s="200">
        <v>0</v>
      </c>
      <c r="F20" s="200">
        <v>0</v>
      </c>
    </row>
    <row r="21" spans="1:6" ht="13" x14ac:dyDescent="0.3">
      <c r="B21" s="93"/>
      <c r="C21" s="157" t="s">
        <v>278</v>
      </c>
      <c r="D21" s="94"/>
      <c r="E21" s="92"/>
      <c r="F21" s="92"/>
    </row>
    <row r="22" spans="1:6" ht="13" x14ac:dyDescent="0.3">
      <c r="B22" s="97"/>
      <c r="C22" s="101"/>
      <c r="D22" s="94"/>
      <c r="E22" s="92"/>
      <c r="F22" s="92"/>
    </row>
    <row r="23" spans="1:6" ht="13" x14ac:dyDescent="0.3">
      <c r="B23" s="97">
        <v>475</v>
      </c>
      <c r="C23" s="100" t="s">
        <v>296</v>
      </c>
      <c r="D23" s="94"/>
      <c r="E23" s="200">
        <v>0</v>
      </c>
      <c r="F23" s="200">
        <v>0</v>
      </c>
    </row>
    <row r="24" spans="1:6" ht="13.5" customHeight="1" x14ac:dyDescent="0.3">
      <c r="B24" s="97"/>
      <c r="C24" s="157" t="s">
        <v>278</v>
      </c>
      <c r="D24" s="94"/>
      <c r="E24" s="92"/>
      <c r="F24" s="92"/>
    </row>
    <row r="25" spans="1:6" ht="13.5" customHeight="1" x14ac:dyDescent="0.3">
      <c r="B25" s="97"/>
      <c r="C25" s="101"/>
      <c r="D25" s="94"/>
      <c r="E25" s="92"/>
      <c r="F25" s="92"/>
    </row>
    <row r="26" spans="1:6" ht="13" x14ac:dyDescent="0.3">
      <c r="B26" s="97">
        <v>458</v>
      </c>
      <c r="C26" s="100" t="s">
        <v>129</v>
      </c>
      <c r="D26" s="94"/>
      <c r="E26" s="200">
        <v>0</v>
      </c>
      <c r="F26" s="200">
        <v>0</v>
      </c>
    </row>
    <row r="27" spans="1:6" ht="13" x14ac:dyDescent="0.3">
      <c r="A27" s="41" t="s">
        <v>43</v>
      </c>
      <c r="B27" s="97">
        <v>459</v>
      </c>
      <c r="C27" s="99" t="s">
        <v>284</v>
      </c>
      <c r="D27" s="94"/>
      <c r="E27" s="92"/>
      <c r="F27" s="92"/>
    </row>
    <row r="28" spans="1:6" ht="13" x14ac:dyDescent="0.3">
      <c r="A28" s="41" t="s">
        <v>45</v>
      </c>
      <c r="B28" s="97"/>
      <c r="C28" s="157"/>
      <c r="D28" s="94"/>
      <c r="E28" s="92"/>
      <c r="F28" s="92"/>
    </row>
    <row r="29" spans="1:6" ht="13" x14ac:dyDescent="0.3">
      <c r="B29" s="95">
        <v>460</v>
      </c>
      <c r="C29" s="96" t="s">
        <v>44</v>
      </c>
      <c r="D29" s="94"/>
      <c r="E29" s="200">
        <v>0</v>
      </c>
      <c r="F29" s="200">
        <v>0</v>
      </c>
    </row>
    <row r="30" spans="1:6" ht="13" x14ac:dyDescent="0.3">
      <c r="B30" s="97">
        <v>461</v>
      </c>
      <c r="C30" s="102" t="s">
        <v>3</v>
      </c>
      <c r="D30" s="94"/>
      <c r="E30" s="92"/>
      <c r="F30" s="92"/>
    </row>
    <row r="31" spans="1:6" ht="13" x14ac:dyDescent="0.3">
      <c r="B31" s="93"/>
      <c r="C31" s="157" t="s">
        <v>280</v>
      </c>
      <c r="D31" s="94"/>
      <c r="E31" s="92"/>
      <c r="F31" s="92"/>
    </row>
    <row r="32" spans="1:6" ht="13" x14ac:dyDescent="0.3">
      <c r="B32" s="93">
        <v>465</v>
      </c>
      <c r="C32" s="157" t="s">
        <v>281</v>
      </c>
      <c r="D32" s="94"/>
      <c r="E32" s="92"/>
      <c r="F32" s="92"/>
    </row>
    <row r="33" spans="2:6" ht="13" x14ac:dyDescent="0.3">
      <c r="B33" s="93">
        <v>466</v>
      </c>
      <c r="C33" s="157" t="s">
        <v>279</v>
      </c>
      <c r="D33" s="94"/>
      <c r="E33" s="92"/>
      <c r="F33" s="92"/>
    </row>
    <row r="34" spans="2:6" ht="13" x14ac:dyDescent="0.3">
      <c r="B34" s="93"/>
      <c r="C34" s="100"/>
      <c r="D34" s="94"/>
      <c r="E34" s="92"/>
      <c r="F34" s="92"/>
    </row>
    <row r="35" spans="2:6" ht="13" x14ac:dyDescent="0.3">
      <c r="B35" s="95">
        <v>467</v>
      </c>
      <c r="C35" s="96" t="s">
        <v>8</v>
      </c>
      <c r="D35" s="94"/>
      <c r="E35" s="200">
        <v>0</v>
      </c>
      <c r="F35" s="200">
        <v>0</v>
      </c>
    </row>
    <row r="36" spans="2:6" ht="13" x14ac:dyDescent="0.3">
      <c r="B36" s="93"/>
      <c r="C36" s="157" t="s">
        <v>278</v>
      </c>
      <c r="D36" s="94"/>
      <c r="E36" s="92"/>
      <c r="F36" s="92"/>
    </row>
    <row r="37" spans="2:6" ht="13" x14ac:dyDescent="0.3">
      <c r="B37" s="93">
        <v>470</v>
      </c>
      <c r="C37" s="157" t="s">
        <v>281</v>
      </c>
      <c r="D37" s="94"/>
      <c r="E37" s="92"/>
      <c r="F37" s="92"/>
    </row>
    <row r="38" spans="2:6" ht="30" customHeight="1" x14ac:dyDescent="0.3">
      <c r="B38" s="93">
        <v>471</v>
      </c>
      <c r="C38" s="157" t="s">
        <v>279</v>
      </c>
      <c r="D38" s="94"/>
      <c r="E38" s="92"/>
      <c r="F38" s="92"/>
    </row>
    <row r="39" spans="2:6" ht="13.5" customHeight="1" x14ac:dyDescent="0.3">
      <c r="B39" s="93"/>
      <c r="C39" s="157"/>
      <c r="D39" s="94"/>
      <c r="E39" s="92"/>
      <c r="F39" s="92"/>
    </row>
    <row r="40" spans="2:6" ht="13.5" customHeight="1" x14ac:dyDescent="0.3">
      <c r="B40" s="95">
        <v>472</v>
      </c>
      <c r="C40" s="96" t="s">
        <v>85</v>
      </c>
      <c r="D40" s="94"/>
      <c r="E40" s="200">
        <v>0</v>
      </c>
      <c r="F40" s="200">
        <v>0</v>
      </c>
    </row>
    <row r="41" spans="2:6" ht="13" x14ac:dyDescent="0.3">
      <c r="B41" s="93">
        <v>473</v>
      </c>
      <c r="C41" s="157" t="s">
        <v>282</v>
      </c>
      <c r="D41" s="94"/>
      <c r="E41" s="92"/>
      <c r="F41" s="92"/>
    </row>
    <row r="42" spans="2:6" ht="13" x14ac:dyDescent="0.3">
      <c r="B42" s="93"/>
      <c r="C42" s="157"/>
      <c r="D42" s="94"/>
      <c r="E42" s="92"/>
      <c r="F42" s="92"/>
    </row>
    <row r="43" spans="2:6" s="49" customFormat="1" ht="13" x14ac:dyDescent="0.3">
      <c r="B43" s="93"/>
      <c r="C43" s="166" t="s">
        <v>283</v>
      </c>
      <c r="D43" s="65"/>
      <c r="E43" s="200">
        <v>0</v>
      </c>
      <c r="F43" s="200">
        <v>0</v>
      </c>
    </row>
    <row r="44" spans="2:6" s="49" customFormat="1" ht="13" x14ac:dyDescent="0.3">
      <c r="B44" s="93"/>
      <c r="C44" s="167"/>
      <c r="D44" s="65"/>
      <c r="E44" s="59"/>
      <c r="F44" s="59"/>
    </row>
    <row r="45" spans="2:6" s="49" customFormat="1" ht="13" x14ac:dyDescent="0.3">
      <c r="B45" s="90">
        <v>474</v>
      </c>
      <c r="C45" s="89" t="s">
        <v>204</v>
      </c>
      <c r="D45" s="65"/>
      <c r="E45" s="222">
        <f>+E43+E12</f>
        <v>436874.19060000003</v>
      </c>
      <c r="F45" s="222">
        <f>+F43+F12</f>
        <v>332266.42700000003</v>
      </c>
    </row>
    <row r="46" spans="2:6" s="49" customFormat="1" ht="13" x14ac:dyDescent="0.3">
      <c r="B46" s="48"/>
      <c r="C46" s="69"/>
      <c r="D46" s="69"/>
      <c r="E46" s="103"/>
      <c r="F46" s="103"/>
    </row>
    <row r="47" spans="2:6" x14ac:dyDescent="0.25">
      <c r="B47" s="49" t="s">
        <v>186</v>
      </c>
    </row>
    <row r="48" spans="2:6" ht="13" x14ac:dyDescent="0.3">
      <c r="B48" s="49" t="s">
        <v>185</v>
      </c>
      <c r="F48" s="143"/>
    </row>
    <row r="49" spans="2:6" ht="13" x14ac:dyDescent="0.25">
      <c r="B49" s="49"/>
      <c r="C49" s="223"/>
    </row>
    <row r="54" spans="2:6" x14ac:dyDescent="0.25">
      <c r="B54" s="50" t="s">
        <v>174</v>
      </c>
    </row>
    <row r="55" spans="2:6" x14ac:dyDescent="0.25">
      <c r="B55" s="51" t="s">
        <v>187</v>
      </c>
    </row>
    <row r="56" spans="2:6" x14ac:dyDescent="0.25">
      <c r="B56" s="41" t="s">
        <v>188</v>
      </c>
    </row>
    <row r="57" spans="2:6" x14ac:dyDescent="0.25">
      <c r="B57" s="41" t="s">
        <v>189</v>
      </c>
    </row>
    <row r="58" spans="2:6" x14ac:dyDescent="0.25">
      <c r="B58" s="263" t="s">
        <v>292</v>
      </c>
      <c r="C58" s="263"/>
      <c r="D58" s="263"/>
      <c r="E58" s="263"/>
      <c r="F58" s="263"/>
    </row>
    <row r="59" spans="2:6" x14ac:dyDescent="0.25">
      <c r="B59" s="41" t="s">
        <v>190</v>
      </c>
    </row>
    <row r="60" spans="2:6" x14ac:dyDescent="0.25">
      <c r="B60" s="49" t="s">
        <v>191</v>
      </c>
    </row>
    <row r="62" spans="2:6" x14ac:dyDescent="0.25">
      <c r="B62" s="49"/>
      <c r="C62" s="71"/>
      <c r="D62" s="71"/>
    </row>
    <row r="63" spans="2:6" x14ac:dyDescent="0.25">
      <c r="B63" s="49"/>
      <c r="C63" s="72"/>
      <c r="D63" s="72"/>
    </row>
    <row r="64" spans="2:6" x14ac:dyDescent="0.25">
      <c r="B64" s="49"/>
      <c r="C64" s="72"/>
      <c r="D64" s="72"/>
    </row>
    <row r="65" spans="2:4" x14ac:dyDescent="0.25">
      <c r="B65" s="49"/>
      <c r="C65" s="72"/>
      <c r="D65" s="72"/>
    </row>
    <row r="66" spans="2:4" x14ac:dyDescent="0.25">
      <c r="B66" s="49"/>
      <c r="C66" s="72"/>
      <c r="D66" s="72"/>
    </row>
  </sheetData>
  <mergeCells count="1">
    <mergeCell ref="B58:F58"/>
  </mergeCells>
  <pageMargins left="0.31496062992125984" right="0.31496062992125984" top="0.74803149606299213" bottom="0.74803149606299213" header="0.31496062992125984" footer="0.31496062992125984"/>
  <pageSetup scale="80" orientation="portrait" r:id="rId1"/>
  <headerFooter>
    <oddFooter>&amp;R&amp;P/&amp;N</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7:O40"/>
  <sheetViews>
    <sheetView showGridLines="0" view="pageBreakPreview" zoomScale="85" zoomScaleNormal="85" zoomScaleSheetLayoutView="85" workbookViewId="0">
      <selection activeCell="A10" sqref="A10"/>
    </sheetView>
  </sheetViews>
  <sheetFormatPr baseColWidth="10" defaultColWidth="11.453125" defaultRowHeight="14" x14ac:dyDescent="0.3"/>
  <cols>
    <col min="1" max="1" width="0.54296875" style="2" customWidth="1"/>
    <col min="2" max="2" width="54" style="24" customWidth="1"/>
    <col min="3" max="3" width="8.6328125" style="2" customWidth="1"/>
    <col min="4" max="4" width="10.36328125" style="2" customWidth="1"/>
    <col min="5" max="5" width="11.54296875" style="2" customWidth="1"/>
    <col min="6" max="6" width="9.90625" style="2" customWidth="1"/>
    <col min="7" max="7" width="13.36328125" style="2" customWidth="1"/>
    <col min="8" max="8" width="11.36328125" style="2" customWidth="1"/>
    <col min="9" max="9" width="9" style="2" customWidth="1"/>
    <col min="10" max="11" width="12.36328125" style="2" customWidth="1"/>
    <col min="12" max="12" width="13" style="2" customWidth="1"/>
    <col min="13" max="13" width="11.6328125" style="2" customWidth="1"/>
    <col min="14" max="14" width="15.81640625" style="2" customWidth="1"/>
    <col min="15" max="15" width="13.36328125" style="2" customWidth="1"/>
    <col min="16" max="16384" width="11.453125" style="2"/>
  </cols>
  <sheetData>
    <row r="7" spans="1:15" x14ac:dyDescent="0.3">
      <c r="B7" s="29" t="s">
        <v>25</v>
      </c>
    </row>
    <row r="8" spans="1:15" ht="21.75" customHeight="1" x14ac:dyDescent="0.3">
      <c r="B8" s="135" t="s">
        <v>299</v>
      </c>
    </row>
    <row r="9" spans="1:15" s="24" customFormat="1" ht="24.65" customHeight="1" x14ac:dyDescent="0.3">
      <c r="A9" s="29"/>
      <c r="B9" s="36" t="s">
        <v>88</v>
      </c>
      <c r="C9" s="266" t="s">
        <v>35</v>
      </c>
      <c r="D9" s="267"/>
      <c r="E9" s="267"/>
      <c r="F9" s="267"/>
      <c r="G9" s="267"/>
      <c r="H9" s="267"/>
      <c r="I9" s="267"/>
      <c r="J9" s="267"/>
      <c r="K9" s="267"/>
      <c r="L9" s="268"/>
      <c r="M9" s="105"/>
      <c r="N9" s="224" t="s">
        <v>89</v>
      </c>
      <c r="O9" s="269" t="s">
        <v>92</v>
      </c>
    </row>
    <row r="10" spans="1:15" ht="46" x14ac:dyDescent="0.3">
      <c r="A10" s="3"/>
      <c r="B10" s="225" t="s">
        <v>305</v>
      </c>
      <c r="C10" s="26" t="s">
        <v>51</v>
      </c>
      <c r="D10" s="26" t="s">
        <v>2</v>
      </c>
      <c r="E10" s="26" t="s">
        <v>24</v>
      </c>
      <c r="F10" s="27" t="s">
        <v>5</v>
      </c>
      <c r="G10" s="27" t="s">
        <v>47</v>
      </c>
      <c r="H10" s="27" t="s">
        <v>232</v>
      </c>
      <c r="I10" s="27" t="s">
        <v>231</v>
      </c>
      <c r="J10" s="27" t="s">
        <v>6</v>
      </c>
      <c r="K10" s="27" t="s">
        <v>230</v>
      </c>
      <c r="L10" s="32" t="s">
        <v>7</v>
      </c>
      <c r="M10" s="27" t="s">
        <v>150</v>
      </c>
      <c r="N10" s="30" t="s">
        <v>91</v>
      </c>
      <c r="O10" s="269"/>
    </row>
    <row r="11" spans="1:15" s="7" customFormat="1" x14ac:dyDescent="0.3">
      <c r="A11" s="4"/>
      <c r="B11" s="144" t="s">
        <v>26</v>
      </c>
      <c r="C11" s="5"/>
      <c r="D11" s="5"/>
      <c r="E11" s="5"/>
      <c r="F11" s="5"/>
      <c r="G11" s="5"/>
      <c r="H11" s="5"/>
      <c r="I11" s="5"/>
      <c r="J11" s="5"/>
      <c r="K11" s="5"/>
      <c r="L11" s="33"/>
      <c r="M11" s="5"/>
      <c r="N11" s="31"/>
      <c r="O11" s="6"/>
    </row>
    <row r="12" spans="1:15" ht="15.75" customHeight="1" x14ac:dyDescent="0.3">
      <c r="A12" s="8"/>
      <c r="B12" s="18" t="s">
        <v>306</v>
      </c>
      <c r="C12" s="226">
        <v>0</v>
      </c>
      <c r="D12" s="226">
        <v>0</v>
      </c>
      <c r="E12" s="226">
        <f>214370301/1000</f>
        <v>214370.30100000001</v>
      </c>
      <c r="F12" s="226">
        <v>0</v>
      </c>
      <c r="G12" s="226">
        <v>0</v>
      </c>
      <c r="H12" s="226">
        <f>154107302/1000</f>
        <v>154107.302</v>
      </c>
      <c r="I12" s="226">
        <v>0</v>
      </c>
      <c r="J12" s="226">
        <f>917429587/1000</f>
        <v>917429.58700000006</v>
      </c>
      <c r="K12" s="226">
        <f>282426464/1000</f>
        <v>282426.46399999998</v>
      </c>
      <c r="L12" s="227">
        <f>+SUM(C12:K12)</f>
        <v>1568333.6539999999</v>
      </c>
      <c r="M12" s="9"/>
      <c r="N12" s="226">
        <f>27844506/1000</f>
        <v>27844.506000000001</v>
      </c>
      <c r="O12" s="226">
        <f>282426464/1000</f>
        <v>282426.46399999998</v>
      </c>
    </row>
    <row r="13" spans="1:15" hidden="1" x14ac:dyDescent="0.3">
      <c r="A13" s="10"/>
      <c r="B13" s="228" t="s">
        <v>9</v>
      </c>
      <c r="C13" s="11"/>
      <c r="D13" s="11"/>
      <c r="E13" s="11"/>
      <c r="F13" s="11"/>
      <c r="G13" s="11"/>
      <c r="H13" s="11"/>
      <c r="I13" s="11"/>
      <c r="J13" s="229"/>
      <c r="K13" s="11"/>
      <c r="L13" s="227">
        <f>+SUM(C13:K13)</f>
        <v>0</v>
      </c>
      <c r="M13" s="11"/>
      <c r="N13" s="229"/>
      <c r="O13" s="230">
        <f>+L13+M13+N13</f>
        <v>0</v>
      </c>
    </row>
    <row r="14" spans="1:15" ht="18" hidden="1" customHeight="1" x14ac:dyDescent="0.3">
      <c r="A14" s="10"/>
      <c r="B14" s="228" t="s">
        <v>10</v>
      </c>
      <c r="C14" s="11"/>
      <c r="D14" s="11"/>
      <c r="E14" s="11"/>
      <c r="F14" s="11"/>
      <c r="G14" s="11"/>
      <c r="H14" s="11"/>
      <c r="I14" s="11"/>
      <c r="J14" s="11"/>
      <c r="K14" s="11"/>
      <c r="L14" s="227">
        <f t="shared" ref="L14:L27" si="0">+SUM(C14:K14)</f>
        <v>0</v>
      </c>
      <c r="M14" s="11"/>
      <c r="N14" s="11"/>
      <c r="O14" s="230">
        <f>+L14+M14+N14</f>
        <v>0</v>
      </c>
    </row>
    <row r="15" spans="1:15" hidden="1" x14ac:dyDescent="0.3">
      <c r="A15" s="8"/>
      <c r="B15" s="231" t="s">
        <v>151</v>
      </c>
      <c r="C15" s="226">
        <f>+C12+C13+C14</f>
        <v>0</v>
      </c>
      <c r="D15" s="226">
        <f t="shared" ref="D15:K15" si="1">+D12+D13+D14</f>
        <v>0</v>
      </c>
      <c r="E15" s="226">
        <f t="shared" si="1"/>
        <v>214370.30100000001</v>
      </c>
      <c r="F15" s="226">
        <f t="shared" si="1"/>
        <v>0</v>
      </c>
      <c r="G15" s="226">
        <f t="shared" si="1"/>
        <v>0</v>
      </c>
      <c r="H15" s="226">
        <f>+H12+H13+H14</f>
        <v>154107.302</v>
      </c>
      <c r="I15" s="226">
        <f t="shared" si="1"/>
        <v>0</v>
      </c>
      <c r="J15" s="226">
        <f t="shared" si="1"/>
        <v>917429.58700000006</v>
      </c>
      <c r="K15" s="226">
        <f t="shared" si="1"/>
        <v>282426.46399999998</v>
      </c>
      <c r="L15" s="227">
        <f t="shared" si="0"/>
        <v>1568333.6539999999</v>
      </c>
      <c r="M15" s="9"/>
      <c r="N15" s="226">
        <f t="shared" ref="N15" si="2">+N12+N13+N14</f>
        <v>27844.506000000001</v>
      </c>
      <c r="O15" s="230">
        <f>+L15+M15+N15</f>
        <v>1596178.16</v>
      </c>
    </row>
    <row r="16" spans="1:15" x14ac:dyDescent="0.3">
      <c r="A16" s="10"/>
      <c r="B16" s="19" t="s">
        <v>170</v>
      </c>
      <c r="C16" s="11"/>
      <c r="D16" s="11"/>
      <c r="E16" s="11"/>
      <c r="F16" s="11"/>
      <c r="G16" s="11"/>
      <c r="H16" s="11"/>
      <c r="I16" s="11"/>
      <c r="J16" s="11"/>
      <c r="K16" s="229">
        <f>423743036/1000</f>
        <v>423743.03600000002</v>
      </c>
      <c r="L16" s="227">
        <f t="shared" si="0"/>
        <v>423743.03600000002</v>
      </c>
      <c r="M16" s="11"/>
      <c r="N16" s="11"/>
      <c r="O16" s="230">
        <f>+L16+M16+N16</f>
        <v>423743.03600000002</v>
      </c>
    </row>
    <row r="17" spans="1:15" x14ac:dyDescent="0.3">
      <c r="A17" s="10"/>
      <c r="B17" s="19" t="s">
        <v>27</v>
      </c>
      <c r="C17" s="11"/>
      <c r="D17" s="11"/>
      <c r="E17" s="11"/>
      <c r="F17" s="11"/>
      <c r="G17" s="11"/>
      <c r="H17" s="11"/>
      <c r="I17" s="11"/>
      <c r="J17" s="11"/>
      <c r="K17" s="11"/>
      <c r="L17" s="227">
        <f t="shared" si="0"/>
        <v>0</v>
      </c>
      <c r="M17" s="11"/>
      <c r="N17" s="11"/>
      <c r="O17" s="230">
        <f t="shared" ref="O17:O27" si="3">+L17+M17+N17</f>
        <v>0</v>
      </c>
    </row>
    <row r="18" spans="1:15" ht="18" customHeight="1" x14ac:dyDescent="0.3">
      <c r="A18" s="8"/>
      <c r="B18" s="20" t="s">
        <v>90</v>
      </c>
      <c r="C18" s="9"/>
      <c r="D18" s="9"/>
      <c r="E18" s="9"/>
      <c r="F18" s="9"/>
      <c r="G18" s="9"/>
      <c r="H18" s="9"/>
      <c r="I18" s="9"/>
      <c r="J18" s="9"/>
      <c r="K18" s="9"/>
      <c r="L18" s="227">
        <f t="shared" si="0"/>
        <v>0</v>
      </c>
      <c r="M18" s="9"/>
      <c r="N18" s="9"/>
      <c r="O18" s="230">
        <f t="shared" si="3"/>
        <v>0</v>
      </c>
    </row>
    <row r="19" spans="1:15" ht="20.25" customHeight="1" x14ac:dyDescent="0.3">
      <c r="A19" s="8"/>
      <c r="B19" s="21" t="s">
        <v>46</v>
      </c>
      <c r="C19" s="9"/>
      <c r="D19" s="9"/>
      <c r="E19" s="9"/>
      <c r="F19" s="9"/>
      <c r="G19" s="9"/>
      <c r="H19" s="9"/>
      <c r="I19" s="9"/>
      <c r="J19" s="9"/>
      <c r="K19" s="9"/>
      <c r="L19" s="227">
        <f t="shared" si="0"/>
        <v>0</v>
      </c>
      <c r="M19" s="9"/>
      <c r="N19" s="9"/>
      <c r="O19" s="230">
        <f t="shared" si="3"/>
        <v>0</v>
      </c>
    </row>
    <row r="20" spans="1:15" ht="13.5" customHeight="1" x14ac:dyDescent="0.3">
      <c r="A20" s="10"/>
      <c r="B20" s="19" t="s">
        <v>39</v>
      </c>
      <c r="C20" s="11"/>
      <c r="D20" s="11"/>
      <c r="E20" s="229">
        <f>87067503/1000</f>
        <v>87067.502999999997</v>
      </c>
      <c r="F20" s="11"/>
      <c r="G20" s="11"/>
      <c r="H20" s="229">
        <f>-87067503/1000</f>
        <v>-87067.502999999997</v>
      </c>
      <c r="I20" s="11"/>
      <c r="J20" s="11"/>
      <c r="K20" s="11"/>
      <c r="L20" s="227">
        <f t="shared" si="0"/>
        <v>0</v>
      </c>
      <c r="M20" s="11"/>
      <c r="N20" s="11"/>
      <c r="O20" s="230">
        <f t="shared" si="3"/>
        <v>0</v>
      </c>
    </row>
    <row r="21" spans="1:15" ht="14.25" customHeight="1" x14ac:dyDescent="0.3">
      <c r="A21" s="10"/>
      <c r="B21" s="19" t="s">
        <v>40</v>
      </c>
      <c r="C21" s="11"/>
      <c r="D21" s="11"/>
      <c r="E21" s="11"/>
      <c r="F21" s="11"/>
      <c r="G21" s="12"/>
      <c r="H21" s="12"/>
      <c r="I21" s="11"/>
      <c r="J21" s="11"/>
      <c r="K21" s="11"/>
      <c r="L21" s="227">
        <f t="shared" si="0"/>
        <v>0</v>
      </c>
      <c r="M21" s="11"/>
      <c r="N21" s="11"/>
      <c r="O21" s="230">
        <f t="shared" si="3"/>
        <v>0</v>
      </c>
    </row>
    <row r="22" spans="1:15" x14ac:dyDescent="0.3">
      <c r="A22" s="10"/>
      <c r="B22" s="19" t="s">
        <v>47</v>
      </c>
      <c r="C22" s="11"/>
      <c r="D22" s="11"/>
      <c r="E22" s="11"/>
      <c r="F22" s="11"/>
      <c r="G22" s="12"/>
      <c r="H22" s="12"/>
      <c r="I22" s="11"/>
      <c r="J22" s="11"/>
      <c r="K22" s="11"/>
      <c r="L22" s="227">
        <f t="shared" si="0"/>
        <v>0</v>
      </c>
      <c r="M22" s="11"/>
      <c r="N22" s="11"/>
      <c r="O22" s="230">
        <f t="shared" si="3"/>
        <v>0</v>
      </c>
    </row>
    <row r="23" spans="1:15" x14ac:dyDescent="0.3">
      <c r="A23" s="10"/>
      <c r="B23" s="19" t="s">
        <v>48</v>
      </c>
      <c r="C23" s="11"/>
      <c r="D23" s="11"/>
      <c r="E23" s="11"/>
      <c r="F23" s="11"/>
      <c r="G23" s="13"/>
      <c r="H23" s="13"/>
      <c r="I23" s="11"/>
      <c r="J23" s="11"/>
      <c r="K23" s="229">
        <f>-18296534/1000</f>
        <v>-18296.534</v>
      </c>
      <c r="L23" s="227">
        <f t="shared" si="0"/>
        <v>-18296.534</v>
      </c>
      <c r="M23" s="11"/>
      <c r="N23" s="11"/>
      <c r="O23" s="230">
        <f t="shared" si="3"/>
        <v>-18296.534</v>
      </c>
    </row>
    <row r="24" spans="1:15" ht="17.25" customHeight="1" x14ac:dyDescent="0.3">
      <c r="A24" s="10"/>
      <c r="B24" s="19" t="s">
        <v>11</v>
      </c>
      <c r="C24" s="11"/>
      <c r="D24" s="11"/>
      <c r="E24" s="11"/>
      <c r="F24" s="11"/>
      <c r="G24" s="13"/>
      <c r="H24" s="13"/>
      <c r="I24" s="11"/>
      <c r="J24" s="11"/>
      <c r="K24" s="11"/>
      <c r="L24" s="227">
        <f t="shared" si="0"/>
        <v>0</v>
      </c>
      <c r="M24" s="11"/>
      <c r="N24" s="11"/>
      <c r="O24" s="230">
        <f t="shared" si="3"/>
        <v>0</v>
      </c>
    </row>
    <row r="25" spans="1:15" ht="16.5" customHeight="1" x14ac:dyDescent="0.3">
      <c r="A25" s="10"/>
      <c r="B25" s="19" t="s">
        <v>233</v>
      </c>
      <c r="C25" s="11"/>
      <c r="D25" s="11"/>
      <c r="E25" s="11"/>
      <c r="F25" s="11"/>
      <c r="G25" s="11"/>
      <c r="H25" s="229">
        <f>63561455/1000</f>
        <v>63561.455000000002</v>
      </c>
      <c r="I25" s="11"/>
      <c r="J25" s="11"/>
      <c r="K25" s="229">
        <f>-63561455/1000</f>
        <v>-63561.455000000002</v>
      </c>
      <c r="L25" s="227">
        <f t="shared" si="0"/>
        <v>0</v>
      </c>
      <c r="M25" s="11"/>
      <c r="N25" s="11"/>
      <c r="O25" s="230">
        <f t="shared" si="3"/>
        <v>0</v>
      </c>
    </row>
    <row r="26" spans="1:15" ht="17.25" customHeight="1" x14ac:dyDescent="0.3">
      <c r="A26" s="10"/>
      <c r="B26" s="19" t="s">
        <v>234</v>
      </c>
      <c r="C26" s="11"/>
      <c r="D26" s="11"/>
      <c r="E26" s="11"/>
      <c r="F26" s="11"/>
      <c r="G26" s="11"/>
      <c r="H26" s="11"/>
      <c r="I26" s="11"/>
      <c r="J26" s="11"/>
      <c r="K26" s="11"/>
      <c r="L26" s="227">
        <f t="shared" si="0"/>
        <v>0</v>
      </c>
      <c r="M26" s="11"/>
      <c r="N26" s="11"/>
      <c r="O26" s="230">
        <f t="shared" si="3"/>
        <v>0</v>
      </c>
    </row>
    <row r="27" spans="1:15" x14ac:dyDescent="0.3">
      <c r="A27" s="10"/>
      <c r="B27" s="19" t="s">
        <v>49</v>
      </c>
      <c r="C27" s="11"/>
      <c r="D27" s="11"/>
      <c r="E27" s="11"/>
      <c r="F27" s="11"/>
      <c r="G27" s="11"/>
      <c r="H27" s="11"/>
      <c r="I27" s="11"/>
      <c r="J27" s="229">
        <f>282426646/1000</f>
        <v>282426.64600000001</v>
      </c>
      <c r="K27" s="229">
        <f>-282426646/1000</f>
        <v>-282426.64600000001</v>
      </c>
      <c r="L27" s="227">
        <f t="shared" si="0"/>
        <v>0</v>
      </c>
      <c r="M27" s="11"/>
      <c r="N27" s="229">
        <f>13277447/1000</f>
        <v>13277.447</v>
      </c>
      <c r="O27" s="230">
        <f t="shared" si="3"/>
        <v>13277.447</v>
      </c>
    </row>
    <row r="28" spans="1:15" x14ac:dyDescent="0.3">
      <c r="A28" s="14"/>
      <c r="B28" s="22" t="s">
        <v>50</v>
      </c>
      <c r="C28" s="230">
        <f>+SUM(C15:C27)</f>
        <v>0</v>
      </c>
      <c r="D28" s="230">
        <f t="shared" ref="D28:K28" si="4">+SUM(D15:D27)</f>
        <v>0</v>
      </c>
      <c r="E28" s="230">
        <f t="shared" si="4"/>
        <v>301437.804</v>
      </c>
      <c r="F28" s="230">
        <f t="shared" si="4"/>
        <v>0</v>
      </c>
      <c r="G28" s="230">
        <f t="shared" si="4"/>
        <v>0</v>
      </c>
      <c r="H28" s="230">
        <f t="shared" si="4"/>
        <v>130601.254</v>
      </c>
      <c r="I28" s="230">
        <f t="shared" si="4"/>
        <v>0</v>
      </c>
      <c r="J28" s="230">
        <f>+SUM(J15:J27)</f>
        <v>1199856.233</v>
      </c>
      <c r="K28" s="230">
        <f t="shared" si="4"/>
        <v>341884.86500000005</v>
      </c>
      <c r="L28" s="230">
        <f>+SUM(L15:L27)</f>
        <v>1973780.156</v>
      </c>
      <c r="M28" s="230">
        <f t="shared" ref="M28:O28" si="5">+SUM(M15:M27)</f>
        <v>0</v>
      </c>
      <c r="N28" s="230">
        <f t="shared" si="5"/>
        <v>41121.953000000001</v>
      </c>
      <c r="O28" s="230">
        <f t="shared" si="5"/>
        <v>2014902.1089999999</v>
      </c>
    </row>
    <row r="29" spans="1:15" s="1" customFormat="1" x14ac:dyDescent="0.3">
      <c r="A29" s="15"/>
      <c r="B29" s="23"/>
      <c r="C29" s="16"/>
      <c r="D29" s="16"/>
      <c r="E29" s="16"/>
      <c r="F29" s="16"/>
      <c r="G29" s="16"/>
      <c r="H29" s="16"/>
      <c r="I29" s="16"/>
      <c r="J29" s="16"/>
      <c r="K29" s="16"/>
      <c r="L29" s="232"/>
      <c r="M29" s="16"/>
      <c r="N29" s="16"/>
      <c r="O29" s="16"/>
    </row>
    <row r="30" spans="1:15" x14ac:dyDescent="0.3">
      <c r="A30" s="1" t="s">
        <v>86</v>
      </c>
      <c r="M30" s="17"/>
      <c r="N30" s="17"/>
      <c r="O30" s="17"/>
    </row>
    <row r="31" spans="1:15" x14ac:dyDescent="0.3">
      <c r="A31" s="1" t="s">
        <v>192</v>
      </c>
      <c r="M31" s="17"/>
      <c r="N31" s="17"/>
      <c r="O31" s="17"/>
    </row>
    <row r="32" spans="1:15" x14ac:dyDescent="0.3">
      <c r="M32" s="17"/>
      <c r="N32" s="17"/>
      <c r="O32" s="17"/>
    </row>
    <row r="33" spans="1:6" x14ac:dyDescent="0.3">
      <c r="B33" s="25"/>
    </row>
    <row r="34" spans="1:6" x14ac:dyDescent="0.3">
      <c r="B34" s="25"/>
    </row>
    <row r="35" spans="1:6" x14ac:dyDescent="0.3">
      <c r="B35" s="25"/>
    </row>
    <row r="36" spans="1:6" x14ac:dyDescent="0.3">
      <c r="B36" s="25"/>
    </row>
    <row r="37" spans="1:6" x14ac:dyDescent="0.3">
      <c r="B37" s="24" t="s">
        <v>174</v>
      </c>
    </row>
    <row r="38" spans="1:6" x14ac:dyDescent="0.3">
      <c r="A38" s="35" t="s">
        <v>94</v>
      </c>
      <c r="B38" s="145" t="s">
        <v>187</v>
      </c>
    </row>
    <row r="39" spans="1:6" x14ac:dyDescent="0.3">
      <c r="A39" s="34" t="s">
        <v>93</v>
      </c>
      <c r="B39" s="145" t="s">
        <v>193</v>
      </c>
    </row>
    <row r="40" spans="1:6" x14ac:dyDescent="0.3">
      <c r="B40" s="265" t="s">
        <v>292</v>
      </c>
      <c r="C40" s="265"/>
      <c r="D40" s="265"/>
      <c r="E40" s="265"/>
      <c r="F40" s="265"/>
    </row>
  </sheetData>
  <mergeCells count="3">
    <mergeCell ref="B40:F40"/>
    <mergeCell ref="C9:L9"/>
    <mergeCell ref="O9:O10"/>
  </mergeCells>
  <printOptions horizontalCentered="1"/>
  <pageMargins left="0" right="0" top="0.74803149606299213" bottom="0.55118110236220474" header="0.31496062992125984" footer="0.31496062992125984"/>
  <pageSetup scale="65" orientation="landscape" r:id="rId1"/>
  <headerFooter>
    <oddFooter>&amp;R&amp;P/&amp;N</oddFoot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1</xdr:col>
                <xdr:colOff>0</xdr:colOff>
                <xdr:row>0</xdr:row>
                <xdr:rowOff>0</xdr:rowOff>
              </from>
              <to>
                <xdr:col>2</xdr:col>
                <xdr:colOff>6350</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E216"/>
  <sheetViews>
    <sheetView showGridLines="0" view="pageBreakPreview" topLeftCell="B1" zoomScale="115" zoomScaleNormal="115" zoomScaleSheetLayoutView="115" workbookViewId="0">
      <selection activeCell="F123" sqref="F123"/>
    </sheetView>
  </sheetViews>
  <sheetFormatPr baseColWidth="10" defaultColWidth="11.453125" defaultRowHeight="12.5" x14ac:dyDescent="0.25"/>
  <cols>
    <col min="1" max="1" width="10.81640625" style="41" hidden="1" customWidth="1"/>
    <col min="2" max="2" width="80.1796875" style="41" customWidth="1"/>
    <col min="3" max="3" width="8.6328125" style="132" customWidth="1"/>
    <col min="4" max="4" width="13.36328125" style="244" customWidth="1"/>
    <col min="5" max="5" width="15.1796875" style="244" customWidth="1"/>
    <col min="6" max="6" width="12.08984375" style="41" customWidth="1"/>
    <col min="7" max="16384" width="11.453125" style="41"/>
  </cols>
  <sheetData>
    <row r="5" spans="1:5" ht="13" x14ac:dyDescent="0.25">
      <c r="B5" s="140" t="s">
        <v>25</v>
      </c>
    </row>
    <row r="6" spans="1:5" ht="14.5" x14ac:dyDescent="0.25">
      <c r="B6" s="135" t="s">
        <v>299</v>
      </c>
    </row>
    <row r="7" spans="1:5" ht="15" customHeight="1" x14ac:dyDescent="0.25">
      <c r="B7" s="141" t="s">
        <v>28</v>
      </c>
      <c r="C7" s="106"/>
      <c r="D7" s="245"/>
      <c r="E7" s="246"/>
    </row>
    <row r="8" spans="1:5" ht="7.25" hidden="1" customHeight="1" x14ac:dyDescent="0.25">
      <c r="B8" s="233"/>
      <c r="C8" s="110"/>
      <c r="D8" s="245"/>
      <c r="E8" s="246"/>
    </row>
    <row r="9" spans="1:5" ht="17.399999999999999" customHeight="1" x14ac:dyDescent="0.25">
      <c r="B9" s="140" t="s">
        <v>307</v>
      </c>
      <c r="C9" s="111"/>
      <c r="D9" s="245"/>
      <c r="E9" s="246"/>
    </row>
    <row r="10" spans="1:5" ht="13" x14ac:dyDescent="0.25">
      <c r="B10" s="109" t="s">
        <v>301</v>
      </c>
      <c r="C10" s="111"/>
      <c r="D10" s="245"/>
      <c r="E10" s="246"/>
    </row>
    <row r="11" spans="1:5" ht="13" x14ac:dyDescent="0.25">
      <c r="B11" s="109"/>
      <c r="C11" s="111"/>
      <c r="D11" s="245"/>
      <c r="E11" s="246"/>
    </row>
    <row r="12" spans="1:5" ht="13" x14ac:dyDescent="0.3">
      <c r="B12" s="107"/>
      <c r="C12" s="57" t="s">
        <v>21</v>
      </c>
      <c r="D12" s="247" t="s">
        <v>22</v>
      </c>
      <c r="E12" s="247" t="s">
        <v>23</v>
      </c>
    </row>
    <row r="13" spans="1:5" ht="13" x14ac:dyDescent="0.3">
      <c r="A13" s="112"/>
      <c r="B13" s="112" t="s">
        <v>58</v>
      </c>
      <c r="C13" s="113"/>
      <c r="D13" s="114"/>
      <c r="E13" s="114"/>
    </row>
    <row r="14" spans="1:5" ht="13" x14ac:dyDescent="0.3">
      <c r="A14" s="148" t="s">
        <v>257</v>
      </c>
      <c r="B14" s="115" t="s">
        <v>12</v>
      </c>
      <c r="C14" s="113"/>
      <c r="D14" s="234">
        <f>423743036/1000</f>
        <v>423743.03600000002</v>
      </c>
      <c r="E14" s="234">
        <f>332266428/1000</f>
        <v>332266.42800000001</v>
      </c>
    </row>
    <row r="15" spans="1:5" ht="9.75" customHeight="1" x14ac:dyDescent="0.3">
      <c r="A15" s="149"/>
      <c r="B15" s="116"/>
      <c r="C15" s="117"/>
      <c r="D15" s="114"/>
      <c r="E15" s="114"/>
    </row>
    <row r="16" spans="1:5" ht="13" x14ac:dyDescent="0.3">
      <c r="A16" s="148"/>
      <c r="B16" s="115" t="s">
        <v>13</v>
      </c>
      <c r="C16" s="117"/>
      <c r="D16" s="114"/>
      <c r="E16" s="114"/>
    </row>
    <row r="17" spans="1:5" ht="13" x14ac:dyDescent="0.3">
      <c r="A17" s="148"/>
      <c r="B17" s="118" t="s">
        <v>250</v>
      </c>
      <c r="C17" s="117"/>
      <c r="D17" s="114"/>
      <c r="E17" s="114"/>
    </row>
    <row r="18" spans="1:5" ht="13" x14ac:dyDescent="0.3">
      <c r="A18" s="148"/>
      <c r="B18" s="118" t="s">
        <v>249</v>
      </c>
      <c r="C18" s="117"/>
      <c r="D18" s="235">
        <f>-5724931/1000</f>
        <v>-5724.9309999999996</v>
      </c>
      <c r="E18" s="235">
        <f>13346737/1000</f>
        <v>13346.736999999999</v>
      </c>
    </row>
    <row r="19" spans="1:5" ht="13" x14ac:dyDescent="0.3">
      <c r="A19" s="148"/>
      <c r="B19" s="118" t="s">
        <v>248</v>
      </c>
      <c r="C19" s="117"/>
      <c r="D19" s="235">
        <f>3046970/1000</f>
        <v>3046.97</v>
      </c>
      <c r="E19" s="235">
        <f>-223125/1000</f>
        <v>-223.125</v>
      </c>
    </row>
    <row r="20" spans="1:5" ht="13" x14ac:dyDescent="0.3">
      <c r="A20" s="148"/>
      <c r="B20" s="118" t="s">
        <v>251</v>
      </c>
      <c r="C20" s="117"/>
      <c r="D20" s="114"/>
      <c r="E20" s="114"/>
    </row>
    <row r="21" spans="1:5" ht="13" x14ac:dyDescent="0.3">
      <c r="A21" s="148"/>
      <c r="B21" s="118" t="s">
        <v>252</v>
      </c>
      <c r="C21" s="117"/>
      <c r="D21" s="114"/>
      <c r="E21" s="114"/>
    </row>
    <row r="22" spans="1:5" ht="13" x14ac:dyDescent="0.3">
      <c r="A22" s="148"/>
      <c r="B22" s="118" t="s">
        <v>253</v>
      </c>
      <c r="C22" s="117"/>
      <c r="D22" s="114"/>
      <c r="E22" s="114"/>
    </row>
    <row r="23" spans="1:5" ht="13" x14ac:dyDescent="0.3">
      <c r="A23" s="148"/>
      <c r="B23" s="118" t="s">
        <v>255</v>
      </c>
      <c r="C23" s="118"/>
      <c r="D23" s="235">
        <f>9134274/1000</f>
        <v>9134.2739999999994</v>
      </c>
      <c r="E23" s="235">
        <f>11572146/1000</f>
        <v>11572.146000000001</v>
      </c>
    </row>
    <row r="24" spans="1:5" ht="13" x14ac:dyDescent="0.3">
      <c r="A24" s="148"/>
      <c r="B24" s="118" t="s">
        <v>254</v>
      </c>
      <c r="C24" s="118"/>
      <c r="D24" s="114"/>
      <c r="E24" s="114"/>
    </row>
    <row r="25" spans="1:5" ht="13" x14ac:dyDescent="0.3">
      <c r="A25" s="148"/>
      <c r="B25" s="118" t="s">
        <v>256</v>
      </c>
      <c r="C25" s="118"/>
      <c r="D25" s="114"/>
      <c r="E25" s="114"/>
    </row>
    <row r="26" spans="1:5" x14ac:dyDescent="0.25">
      <c r="A26" s="149"/>
      <c r="B26" s="118" t="s">
        <v>226</v>
      </c>
      <c r="C26" s="118"/>
      <c r="D26" s="121"/>
      <c r="E26" s="121"/>
    </row>
    <row r="27" spans="1:5" ht="13" thickBot="1" x14ac:dyDescent="0.3">
      <c r="A27" s="149"/>
      <c r="B27" s="118" t="s">
        <v>59</v>
      </c>
      <c r="C27" s="118"/>
      <c r="D27" s="236">
        <f>13277447/1000</f>
        <v>13277.447</v>
      </c>
      <c r="E27" s="237">
        <v>0</v>
      </c>
    </row>
    <row r="28" spans="1:5" ht="13.5" thickBot="1" x14ac:dyDescent="0.35">
      <c r="A28" s="150" t="s">
        <v>258</v>
      </c>
      <c r="B28" s="122" t="s">
        <v>60</v>
      </c>
      <c r="C28" s="118"/>
      <c r="D28" s="238">
        <f>+SUM(D17:D27)</f>
        <v>19733.760000000002</v>
      </c>
      <c r="E28" s="238">
        <f>+SUM(E17:E27)</f>
        <v>24695.758000000002</v>
      </c>
    </row>
    <row r="29" spans="1:5" ht="13" x14ac:dyDescent="0.3">
      <c r="A29" s="149"/>
      <c r="B29" s="122"/>
      <c r="C29" s="118"/>
      <c r="D29" s="239"/>
      <c r="E29" s="239"/>
    </row>
    <row r="30" spans="1:5" ht="13" x14ac:dyDescent="0.3">
      <c r="A30" s="149"/>
      <c r="B30" s="115" t="s">
        <v>244</v>
      </c>
      <c r="C30" s="118"/>
      <c r="D30" s="121"/>
      <c r="E30" s="121"/>
    </row>
    <row r="31" spans="1:5" x14ac:dyDescent="0.25">
      <c r="A31" s="149"/>
      <c r="B31" s="147" t="s">
        <v>235</v>
      </c>
      <c r="C31" s="118"/>
      <c r="D31" s="235">
        <f>-61341751/1000</f>
        <v>-61341.750999999997</v>
      </c>
      <c r="E31" s="235">
        <f>-2422039/1000</f>
        <v>-2422.0390000000002</v>
      </c>
    </row>
    <row r="32" spans="1:5" x14ac:dyDescent="0.25">
      <c r="A32" s="149"/>
      <c r="B32" s="147" t="s">
        <v>236</v>
      </c>
      <c r="C32" s="118"/>
      <c r="D32" s="235">
        <f>26472815/1000</f>
        <v>26472.814999999999</v>
      </c>
      <c r="E32" s="235">
        <f>13579395/1000</f>
        <v>13579.395</v>
      </c>
    </row>
    <row r="33" spans="1:5" x14ac:dyDescent="0.25">
      <c r="A33" s="149"/>
      <c r="B33" s="147" t="s">
        <v>237</v>
      </c>
      <c r="C33" s="118"/>
      <c r="D33" s="121"/>
      <c r="E33" s="121"/>
    </row>
    <row r="34" spans="1:5" x14ac:dyDescent="0.25">
      <c r="A34" s="149"/>
      <c r="B34" s="147" t="s">
        <v>238</v>
      </c>
      <c r="C34" s="118"/>
      <c r="D34" s="235">
        <f>-93502050/1000</f>
        <v>-93502.05</v>
      </c>
      <c r="E34" s="235">
        <f>67155461/1000</f>
        <v>67155.460999999996</v>
      </c>
    </row>
    <row r="35" spans="1:5" x14ac:dyDescent="0.25">
      <c r="A35" s="149"/>
      <c r="B35" s="147" t="s">
        <v>239</v>
      </c>
      <c r="C35" s="118"/>
      <c r="D35" s="235">
        <f>-5066273/1000</f>
        <v>-5066.2730000000001</v>
      </c>
      <c r="E35" s="235">
        <f>3534887/1000</f>
        <v>3534.8870000000002</v>
      </c>
    </row>
    <row r="36" spans="1:5" x14ac:dyDescent="0.25">
      <c r="A36" s="149"/>
      <c r="B36" s="147" t="s">
        <v>240</v>
      </c>
      <c r="C36" s="118"/>
      <c r="D36" s="235">
        <f>7229077/1000</f>
        <v>7229.0770000000002</v>
      </c>
      <c r="E36" s="235">
        <f>-1171491/1000</f>
        <v>-1171.491</v>
      </c>
    </row>
    <row r="37" spans="1:5" x14ac:dyDescent="0.25">
      <c r="A37" s="149"/>
      <c r="B37" s="147" t="s">
        <v>241</v>
      </c>
      <c r="C37" s="118"/>
      <c r="D37" s="235">
        <f>42189103/1000</f>
        <v>42189.103000000003</v>
      </c>
      <c r="E37" s="235">
        <f>52136489/1000</f>
        <v>52136.489000000001</v>
      </c>
    </row>
    <row r="38" spans="1:5" x14ac:dyDescent="0.25">
      <c r="A38" s="149"/>
      <c r="B38" s="147" t="s">
        <v>242</v>
      </c>
      <c r="C38" s="118"/>
      <c r="D38" s="240">
        <v>0</v>
      </c>
      <c r="E38" s="240">
        <v>0</v>
      </c>
    </row>
    <row r="39" spans="1:5" ht="13" thickBot="1" x14ac:dyDescent="0.3">
      <c r="A39" s="149"/>
      <c r="B39" s="147" t="s">
        <v>243</v>
      </c>
      <c r="C39" s="118"/>
      <c r="D39" s="237">
        <v>0</v>
      </c>
      <c r="E39" s="235">
        <f>-5218204/1000</f>
        <v>-5218.2039999999997</v>
      </c>
    </row>
    <row r="40" spans="1:5" ht="13.5" thickBot="1" x14ac:dyDescent="0.35">
      <c r="A40" s="150" t="s">
        <v>259</v>
      </c>
      <c r="B40" s="122" t="s">
        <v>245</v>
      </c>
      <c r="C40" s="118"/>
      <c r="D40" s="238">
        <f>+SUM(D31:D39)</f>
        <v>-84019.078999999983</v>
      </c>
      <c r="E40" s="238">
        <f>+SUM(E31:E39)</f>
        <v>127594.49799999999</v>
      </c>
    </row>
    <row r="41" spans="1:5" ht="13" x14ac:dyDescent="0.3">
      <c r="A41" s="149"/>
      <c r="B41" s="122"/>
      <c r="C41" s="118"/>
      <c r="D41" s="121"/>
      <c r="E41" s="121"/>
    </row>
    <row r="42" spans="1:5" ht="13" x14ac:dyDescent="0.3">
      <c r="A42" s="151" t="s">
        <v>260</v>
      </c>
      <c r="B42" s="115" t="s">
        <v>14</v>
      </c>
      <c r="C42" s="117"/>
      <c r="D42" s="121"/>
      <c r="E42" s="121"/>
    </row>
    <row r="43" spans="1:5" x14ac:dyDescent="0.25">
      <c r="A43" s="152"/>
      <c r="B43" s="120" t="s">
        <v>152</v>
      </c>
      <c r="C43" s="118"/>
      <c r="D43" s="240">
        <v>0</v>
      </c>
      <c r="E43" s="240">
        <v>0</v>
      </c>
    </row>
    <row r="44" spans="1:5" x14ac:dyDescent="0.25">
      <c r="A44" s="153"/>
      <c r="B44" s="120" t="s">
        <v>153</v>
      </c>
      <c r="C44" s="118"/>
      <c r="D44" s="240">
        <v>0</v>
      </c>
      <c r="E44" s="240">
        <v>0</v>
      </c>
    </row>
    <row r="45" spans="1:5" x14ac:dyDescent="0.25">
      <c r="A45" s="153"/>
      <c r="B45" s="120" t="s">
        <v>246</v>
      </c>
      <c r="C45" s="118"/>
      <c r="D45" s="235">
        <f>69966560/1000</f>
        <v>69966.559999999998</v>
      </c>
      <c r="E45" s="235">
        <f>-60696070/1000</f>
        <v>-60696.07</v>
      </c>
    </row>
    <row r="46" spans="1:5" x14ac:dyDescent="0.25">
      <c r="A46" s="153"/>
      <c r="B46" s="120" t="s">
        <v>220</v>
      </c>
      <c r="C46" s="118"/>
      <c r="D46" s="235">
        <f>29880750/1000</f>
        <v>29880.75</v>
      </c>
      <c r="E46" s="235">
        <f>-57687153/1000</f>
        <v>-57687.152999999998</v>
      </c>
    </row>
    <row r="47" spans="1:5" x14ac:dyDescent="0.25">
      <c r="A47" s="153"/>
      <c r="B47" s="120" t="s">
        <v>229</v>
      </c>
      <c r="C47" s="118"/>
      <c r="D47" s="235">
        <f>3437975/1000</f>
        <v>3437.9749999999999</v>
      </c>
      <c r="E47" s="235">
        <f>-18681959/1000</f>
        <v>-18681.958999999999</v>
      </c>
    </row>
    <row r="48" spans="1:5" x14ac:dyDescent="0.25">
      <c r="A48" s="153"/>
      <c r="B48" s="120" t="s">
        <v>0</v>
      </c>
      <c r="C48" s="118"/>
      <c r="D48" s="121"/>
      <c r="E48" s="121"/>
    </row>
    <row r="49" spans="1:5" x14ac:dyDescent="0.25">
      <c r="A49" s="153"/>
      <c r="B49" s="120" t="s">
        <v>155</v>
      </c>
      <c r="C49" s="118"/>
      <c r="D49" s="235">
        <f>167663/1000</f>
        <v>167.66300000000001</v>
      </c>
      <c r="E49" s="235">
        <f>-167663/1000</f>
        <v>-167.66300000000001</v>
      </c>
    </row>
    <row r="50" spans="1:5" x14ac:dyDescent="0.25">
      <c r="A50" s="153"/>
      <c r="B50" s="120" t="s">
        <v>308</v>
      </c>
      <c r="C50" s="118"/>
      <c r="D50" s="235">
        <f>-9405337/1000</f>
        <v>-9405.3369999999995</v>
      </c>
      <c r="E50" s="235">
        <f>3185267/1000</f>
        <v>3185.2669999999998</v>
      </c>
    </row>
    <row r="51" spans="1:5" x14ac:dyDescent="0.25">
      <c r="A51" s="153"/>
      <c r="B51" s="120" t="s">
        <v>96</v>
      </c>
      <c r="C51" s="118"/>
      <c r="D51" s="235">
        <f>358371/1000</f>
        <v>358.37099999999998</v>
      </c>
      <c r="E51" s="235">
        <f>429931/1000</f>
        <v>429.93099999999998</v>
      </c>
    </row>
    <row r="52" spans="1:5" x14ac:dyDescent="0.25">
      <c r="A52" s="153"/>
      <c r="B52" s="120" t="s">
        <v>210</v>
      </c>
      <c r="C52" s="118"/>
      <c r="D52" s="235">
        <v>0</v>
      </c>
      <c r="E52" s="235">
        <v>0</v>
      </c>
    </row>
    <row r="53" spans="1:5" ht="13" thickBot="1" x14ac:dyDescent="0.3">
      <c r="A53" s="152"/>
      <c r="B53" s="120" t="s">
        <v>54</v>
      </c>
      <c r="C53" s="118"/>
      <c r="D53" s="235">
        <f>3166416/1000</f>
        <v>3166.4160000000002</v>
      </c>
      <c r="E53" s="235">
        <f>335437/1000</f>
        <v>335.43700000000001</v>
      </c>
    </row>
    <row r="54" spans="1:5" ht="13.5" thickBot="1" x14ac:dyDescent="0.35">
      <c r="A54" s="152"/>
      <c r="B54" s="120"/>
      <c r="C54" s="118"/>
      <c r="D54" s="238">
        <f>+SUM(D43:D53)</f>
        <v>97572.398000000001</v>
      </c>
      <c r="E54" s="238">
        <f>+SUM(E43:E53)</f>
        <v>-133282.21</v>
      </c>
    </row>
    <row r="55" spans="1:5" ht="10.5" customHeight="1" x14ac:dyDescent="0.25">
      <c r="A55" s="152"/>
      <c r="B55" s="119"/>
      <c r="C55" s="123"/>
      <c r="D55" s="121"/>
      <c r="E55" s="121"/>
    </row>
    <row r="56" spans="1:5" ht="13" x14ac:dyDescent="0.3">
      <c r="A56" s="151" t="s">
        <v>261</v>
      </c>
      <c r="B56" s="126" t="s">
        <v>15</v>
      </c>
      <c r="C56" s="117"/>
      <c r="D56" s="114"/>
      <c r="E56" s="114"/>
    </row>
    <row r="57" spans="1:5" ht="13" x14ac:dyDescent="0.3">
      <c r="A57" s="151"/>
      <c r="B57" s="120" t="s">
        <v>160</v>
      </c>
      <c r="C57" s="117"/>
      <c r="D57" s="235">
        <f>142071/1000</f>
        <v>142.071</v>
      </c>
      <c r="E57" s="235">
        <f>31757378/1000</f>
        <v>31757.378000000001</v>
      </c>
    </row>
    <row r="58" spans="1:5" ht="13" x14ac:dyDescent="0.3">
      <c r="A58" s="151"/>
      <c r="B58" s="120" t="s">
        <v>228</v>
      </c>
      <c r="C58" s="117"/>
      <c r="D58" s="235">
        <f>52364045/1000</f>
        <v>52364.044999999998</v>
      </c>
      <c r="E58" s="235">
        <f>-1586768/1000</f>
        <v>-1586.768</v>
      </c>
    </row>
    <row r="59" spans="1:5" ht="13" hidden="1" x14ac:dyDescent="0.3">
      <c r="A59" s="151"/>
      <c r="B59" s="241" t="s">
        <v>113</v>
      </c>
      <c r="C59" s="117"/>
      <c r="D59" s="114"/>
      <c r="E59" s="114"/>
    </row>
    <row r="60" spans="1:5" ht="13" x14ac:dyDescent="0.3">
      <c r="A60" s="151"/>
      <c r="B60" s="120" t="s">
        <v>52</v>
      </c>
      <c r="C60" s="117"/>
      <c r="D60" s="235">
        <f>-11532064/1000</f>
        <v>-11532.064</v>
      </c>
      <c r="E60" s="235">
        <f>7513396/1000</f>
        <v>7513.3959999999997</v>
      </c>
    </row>
    <row r="61" spans="1:5" ht="13" x14ac:dyDescent="0.3">
      <c r="A61" s="151"/>
      <c r="B61" s="120" t="s">
        <v>214</v>
      </c>
      <c r="C61" s="117"/>
      <c r="D61" s="235">
        <f>1814300/1000</f>
        <v>1814.3</v>
      </c>
      <c r="E61" s="235">
        <f>3796823/1000</f>
        <v>3796.8229999999999</v>
      </c>
    </row>
    <row r="62" spans="1:5" x14ac:dyDescent="0.25">
      <c r="A62" s="152"/>
      <c r="B62" s="120" t="s">
        <v>53</v>
      </c>
      <c r="C62" s="118"/>
      <c r="D62" s="235">
        <f>17978572/1000</f>
        <v>17978.572</v>
      </c>
      <c r="E62" s="235">
        <f>19575711/1000</f>
        <v>19575.710999999999</v>
      </c>
    </row>
    <row r="63" spans="1:5" x14ac:dyDescent="0.25">
      <c r="A63" s="152"/>
      <c r="B63" s="120" t="s">
        <v>309</v>
      </c>
      <c r="C63" s="118"/>
      <c r="D63" s="235">
        <f>-12000000/1000</f>
        <v>-12000</v>
      </c>
      <c r="E63" s="235">
        <f>-12000000/1000</f>
        <v>-12000</v>
      </c>
    </row>
    <row r="64" spans="1:5" ht="13" thickBot="1" x14ac:dyDescent="0.3">
      <c r="A64" s="152"/>
      <c r="B64" s="120" t="s">
        <v>310</v>
      </c>
      <c r="C64" s="118"/>
      <c r="D64" s="235">
        <f>-6296534/1000</f>
        <v>-6296.5339999999997</v>
      </c>
      <c r="E64" s="235">
        <f>-6032078/1000</f>
        <v>-6032.0780000000004</v>
      </c>
    </row>
    <row r="65" spans="1:5" ht="13.5" thickBot="1" x14ac:dyDescent="0.35">
      <c r="A65" s="152"/>
      <c r="B65" s="120"/>
      <c r="C65" s="118"/>
      <c r="D65" s="238">
        <f>+SUM(D57:D64)</f>
        <v>42470.390000000007</v>
      </c>
      <c r="E65" s="238">
        <f>+SUM(E57:E64)</f>
        <v>43024.461999999992</v>
      </c>
    </row>
    <row r="66" spans="1:5" x14ac:dyDescent="0.25">
      <c r="A66" s="152"/>
      <c r="B66" s="120"/>
      <c r="C66" s="118"/>
      <c r="D66" s="235"/>
      <c r="E66" s="235"/>
    </row>
    <row r="67" spans="1:5" ht="13" x14ac:dyDescent="0.3">
      <c r="A67" s="154" t="s">
        <v>262</v>
      </c>
      <c r="B67" s="125" t="s">
        <v>61</v>
      </c>
      <c r="C67" s="118"/>
      <c r="D67" s="234">
        <f>+D54+D65</f>
        <v>140042.788</v>
      </c>
      <c r="E67" s="234">
        <f>+E54+E65</f>
        <v>-90257.747999999992</v>
      </c>
    </row>
    <row r="68" spans="1:5" ht="10.5" customHeight="1" x14ac:dyDescent="0.3">
      <c r="A68" s="152"/>
      <c r="B68" s="125"/>
      <c r="C68" s="118"/>
      <c r="D68" s="121"/>
      <c r="E68" s="121"/>
    </row>
    <row r="69" spans="1:5" ht="13" x14ac:dyDescent="0.3">
      <c r="A69" s="154" t="s">
        <v>263</v>
      </c>
      <c r="B69" s="127" t="s">
        <v>311</v>
      </c>
      <c r="C69" s="118"/>
      <c r="D69" s="248">
        <f>+D14+D67+D40+D28</f>
        <v>499500.50500000006</v>
      </c>
      <c r="E69" s="248">
        <f>+E14+E67+E40+E28</f>
        <v>394298.93599999999</v>
      </c>
    </row>
    <row r="70" spans="1:5" ht="9" customHeight="1" x14ac:dyDescent="0.3">
      <c r="A70" s="152"/>
      <c r="B70" s="126"/>
      <c r="C70" s="117"/>
      <c r="D70" s="114"/>
      <c r="E70" s="114"/>
    </row>
    <row r="71" spans="1:5" ht="13" x14ac:dyDescent="0.3">
      <c r="A71" s="154"/>
      <c r="B71" s="127" t="s">
        <v>63</v>
      </c>
      <c r="C71" s="117"/>
      <c r="D71" s="114"/>
      <c r="E71" s="114"/>
    </row>
    <row r="72" spans="1:5" ht="11.25" customHeight="1" x14ac:dyDescent="0.3">
      <c r="A72" s="152"/>
      <c r="B72" s="126"/>
      <c r="C72" s="117"/>
      <c r="D72" s="114"/>
      <c r="E72" s="114"/>
    </row>
    <row r="73" spans="1:5" ht="13" x14ac:dyDescent="0.3">
      <c r="A73" s="152" t="s">
        <v>264</v>
      </c>
      <c r="B73" s="126" t="s">
        <v>29</v>
      </c>
      <c r="C73" s="117"/>
      <c r="D73" s="114"/>
      <c r="E73" s="114"/>
    </row>
    <row r="74" spans="1:5" ht="13" x14ac:dyDescent="0.3">
      <c r="A74" s="152"/>
      <c r="B74" s="119" t="s">
        <v>16</v>
      </c>
      <c r="C74" s="117"/>
      <c r="D74" s="235">
        <f>-1301872783/1000</f>
        <v>-1301872.7830000001</v>
      </c>
      <c r="E74" s="235">
        <f>-825672634/1000</f>
        <v>-825672.63399999996</v>
      </c>
    </row>
    <row r="75" spans="1:5" ht="13" x14ac:dyDescent="0.3">
      <c r="A75" s="152"/>
      <c r="B75" s="119" t="s">
        <v>55</v>
      </c>
      <c r="C75" s="117"/>
      <c r="D75" s="235">
        <f>-15472274/1000</f>
        <v>-15472.273999999999</v>
      </c>
      <c r="E75" s="235">
        <f>-14398514/1000</f>
        <v>-14398.513999999999</v>
      </c>
    </row>
    <row r="76" spans="1:5" ht="13" x14ac:dyDescent="0.3">
      <c r="A76" s="152"/>
      <c r="B76" s="119" t="s">
        <v>56</v>
      </c>
      <c r="C76" s="117"/>
      <c r="D76" s="240">
        <v>0</v>
      </c>
      <c r="E76" s="240">
        <v>0</v>
      </c>
    </row>
    <row r="77" spans="1:5" ht="13.5" thickBot="1" x14ac:dyDescent="0.35">
      <c r="A77" s="152"/>
      <c r="B77" s="119" t="s">
        <v>17</v>
      </c>
      <c r="C77" s="117"/>
      <c r="D77" s="240">
        <v>0</v>
      </c>
      <c r="E77" s="240">
        <v>0</v>
      </c>
    </row>
    <row r="78" spans="1:5" ht="13.5" thickBot="1" x14ac:dyDescent="0.35">
      <c r="A78" s="152"/>
      <c r="B78" s="119"/>
      <c r="C78" s="117"/>
      <c r="D78" s="238">
        <f>+SUM(D74:D77)</f>
        <v>-1317345.057</v>
      </c>
      <c r="E78" s="238">
        <f>+SUM(E74:E77)</f>
        <v>-840071.14799999993</v>
      </c>
    </row>
    <row r="79" spans="1:5" ht="13" x14ac:dyDescent="0.3">
      <c r="A79" s="152"/>
      <c r="B79" s="119"/>
      <c r="C79" s="117"/>
      <c r="D79" s="114"/>
      <c r="E79" s="114"/>
    </row>
    <row r="80" spans="1:5" ht="13" x14ac:dyDescent="0.3">
      <c r="A80" s="152" t="s">
        <v>265</v>
      </c>
      <c r="B80" s="126" t="s">
        <v>30</v>
      </c>
      <c r="C80" s="117"/>
      <c r="D80" s="114"/>
      <c r="E80" s="114"/>
    </row>
    <row r="81" spans="1:5" ht="13" x14ac:dyDescent="0.3">
      <c r="A81" s="152"/>
      <c r="B81" s="119" t="s">
        <v>16</v>
      </c>
      <c r="C81" s="117"/>
      <c r="D81" s="235">
        <f>864965774/1000</f>
        <v>864965.77399999998</v>
      </c>
      <c r="E81" s="235">
        <f>455229648/1000</f>
        <v>455229.64799999999</v>
      </c>
    </row>
    <row r="82" spans="1:5" x14ac:dyDescent="0.25">
      <c r="A82" s="152"/>
      <c r="B82" s="119" t="s">
        <v>31</v>
      </c>
      <c r="C82" s="123"/>
      <c r="D82" s="235">
        <f>7458600/1000</f>
        <v>7458.6</v>
      </c>
      <c r="E82" s="235">
        <f>5560672/1000</f>
        <v>5560.6719999999996</v>
      </c>
    </row>
    <row r="83" spans="1:5" x14ac:dyDescent="0.25">
      <c r="A83" s="152"/>
      <c r="B83" s="119" t="s">
        <v>32</v>
      </c>
      <c r="C83" s="123"/>
      <c r="D83" s="240">
        <v>0</v>
      </c>
      <c r="E83" s="240">
        <v>0</v>
      </c>
    </row>
    <row r="84" spans="1:5" x14ac:dyDescent="0.25">
      <c r="A84" s="152"/>
      <c r="B84" s="119" t="s">
        <v>1</v>
      </c>
      <c r="C84" s="123"/>
      <c r="D84" s="240">
        <v>0</v>
      </c>
      <c r="E84" s="240">
        <v>0</v>
      </c>
    </row>
    <row r="85" spans="1:5" x14ac:dyDescent="0.25">
      <c r="A85" s="152"/>
      <c r="B85" s="119" t="s">
        <v>62</v>
      </c>
      <c r="C85" s="123"/>
      <c r="D85" s="240">
        <v>0</v>
      </c>
      <c r="E85" s="240">
        <v>0</v>
      </c>
    </row>
    <row r="86" spans="1:5" ht="16.5" customHeight="1" thickBot="1" x14ac:dyDescent="0.3">
      <c r="A86" s="152"/>
      <c r="B86" s="119" t="s">
        <v>33</v>
      </c>
      <c r="C86" s="123"/>
      <c r="D86" s="240">
        <v>0</v>
      </c>
      <c r="E86" s="240">
        <v>0</v>
      </c>
    </row>
    <row r="87" spans="1:5" ht="16.5" customHeight="1" thickBot="1" x14ac:dyDescent="0.35">
      <c r="A87" s="152"/>
      <c r="B87" s="119"/>
      <c r="C87" s="123"/>
      <c r="D87" s="238">
        <f>+SUM(D81:D86)</f>
        <v>872424.37399999995</v>
      </c>
      <c r="E87" s="238">
        <f>+SUM(E81:E86)</f>
        <v>460790.32</v>
      </c>
    </row>
    <row r="88" spans="1:5" ht="16.5" customHeight="1" x14ac:dyDescent="0.25">
      <c r="A88" s="152"/>
      <c r="B88" s="119"/>
      <c r="C88" s="123"/>
      <c r="D88" s="121"/>
      <c r="E88" s="121"/>
    </row>
    <row r="89" spans="1:5" ht="16.5" customHeight="1" x14ac:dyDescent="0.3">
      <c r="A89" s="155" t="s">
        <v>266</v>
      </c>
      <c r="B89" s="127" t="s">
        <v>312</v>
      </c>
      <c r="C89" s="123"/>
      <c r="D89" s="242">
        <f>+D78+D87</f>
        <v>-444920.68300000008</v>
      </c>
      <c r="E89" s="242">
        <f>+E78+E87</f>
        <v>-379280.82799999992</v>
      </c>
    </row>
    <row r="90" spans="1:5" ht="9.75" customHeight="1" x14ac:dyDescent="0.25">
      <c r="A90" s="152"/>
      <c r="B90" s="119"/>
      <c r="C90" s="123"/>
      <c r="D90" s="121"/>
      <c r="E90" s="121"/>
    </row>
    <row r="91" spans="1:5" ht="13" x14ac:dyDescent="0.3">
      <c r="A91" s="155"/>
      <c r="B91" s="127" t="s">
        <v>64</v>
      </c>
      <c r="C91" s="117"/>
      <c r="D91" s="114"/>
      <c r="E91" s="114"/>
    </row>
    <row r="92" spans="1:5" ht="9" customHeight="1" x14ac:dyDescent="0.3">
      <c r="A92" s="152"/>
      <c r="B92" s="126"/>
      <c r="C92" s="117"/>
      <c r="D92" s="114"/>
      <c r="E92" s="114"/>
    </row>
    <row r="93" spans="1:5" ht="13" x14ac:dyDescent="0.3">
      <c r="A93" s="152" t="s">
        <v>267</v>
      </c>
      <c r="B93" s="126" t="s">
        <v>29</v>
      </c>
      <c r="C93" s="117"/>
      <c r="D93" s="114"/>
      <c r="E93" s="114"/>
    </row>
    <row r="94" spans="1:5" x14ac:dyDescent="0.25">
      <c r="A94" s="152"/>
      <c r="B94" s="119" t="s">
        <v>18</v>
      </c>
      <c r="C94" s="123"/>
      <c r="D94" s="240">
        <v>0</v>
      </c>
      <c r="E94" s="240">
        <v>0</v>
      </c>
    </row>
    <row r="95" spans="1:5" x14ac:dyDescent="0.25">
      <c r="A95" s="152"/>
      <c r="B95" s="119" t="s">
        <v>65</v>
      </c>
      <c r="C95" s="123"/>
      <c r="D95" s="240">
        <v>0</v>
      </c>
      <c r="E95" s="240">
        <v>0</v>
      </c>
    </row>
    <row r="96" spans="1:5" x14ac:dyDescent="0.25">
      <c r="A96" s="152"/>
      <c r="B96" s="119" t="s">
        <v>247</v>
      </c>
      <c r="C96" s="123"/>
      <c r="D96" s="240">
        <v>0</v>
      </c>
      <c r="E96" s="240">
        <v>0</v>
      </c>
    </row>
    <row r="97" spans="1:5" x14ac:dyDescent="0.25">
      <c r="A97" s="152"/>
      <c r="B97" s="119" t="s">
        <v>101</v>
      </c>
      <c r="C97" s="123"/>
      <c r="D97" s="240">
        <v>0</v>
      </c>
      <c r="E97" s="240">
        <v>0</v>
      </c>
    </row>
    <row r="98" spans="1:5" ht="13" thickBot="1" x14ac:dyDescent="0.3">
      <c r="A98" s="149"/>
      <c r="B98" s="123" t="s">
        <v>20</v>
      </c>
      <c r="C98" s="123"/>
      <c r="D98" s="240">
        <v>0</v>
      </c>
      <c r="E98" s="240">
        <v>0</v>
      </c>
    </row>
    <row r="99" spans="1:5" ht="13.5" thickBot="1" x14ac:dyDescent="0.35">
      <c r="A99" s="149"/>
      <c r="B99" s="123"/>
      <c r="C99" s="123"/>
      <c r="D99" s="238">
        <f>+SUM(D93:D98)</f>
        <v>0</v>
      </c>
      <c r="E99" s="238">
        <f>+SUM(E93:E98)</f>
        <v>0</v>
      </c>
    </row>
    <row r="100" spans="1:5" ht="8.25" customHeight="1" x14ac:dyDescent="0.25">
      <c r="A100" s="149"/>
      <c r="B100" s="123"/>
      <c r="C100" s="123"/>
      <c r="D100" s="121"/>
      <c r="E100" s="121"/>
    </row>
    <row r="101" spans="1:5" ht="13" x14ac:dyDescent="0.3">
      <c r="A101" s="149" t="s">
        <v>268</v>
      </c>
      <c r="B101" s="116" t="s">
        <v>30</v>
      </c>
      <c r="C101" s="123"/>
      <c r="D101" s="121"/>
      <c r="E101" s="121"/>
    </row>
    <row r="102" spans="1:5" x14ac:dyDescent="0.25">
      <c r="A102" s="149"/>
      <c r="B102" s="119" t="s">
        <v>66</v>
      </c>
      <c r="C102" s="123"/>
      <c r="D102" s="240">
        <v>0</v>
      </c>
      <c r="E102" s="240">
        <v>0</v>
      </c>
    </row>
    <row r="103" spans="1:5" x14ac:dyDescent="0.25">
      <c r="A103" s="149"/>
      <c r="B103" s="119" t="s">
        <v>57</v>
      </c>
      <c r="C103" s="123"/>
      <c r="D103" s="240">
        <v>0</v>
      </c>
      <c r="E103" s="240">
        <v>0</v>
      </c>
    </row>
    <row r="104" spans="1:5" x14ac:dyDescent="0.25">
      <c r="A104" s="149"/>
      <c r="B104" s="119" t="s">
        <v>101</v>
      </c>
      <c r="C104" s="123"/>
      <c r="D104" s="240">
        <v>0</v>
      </c>
      <c r="E104" s="240">
        <v>0</v>
      </c>
    </row>
    <row r="105" spans="1:5" x14ac:dyDescent="0.25">
      <c r="A105" s="149"/>
      <c r="B105" s="123" t="s">
        <v>19</v>
      </c>
      <c r="C105" s="123"/>
      <c r="D105" s="240">
        <v>0</v>
      </c>
      <c r="E105" s="240">
        <v>0</v>
      </c>
    </row>
    <row r="106" spans="1:5" x14ac:dyDescent="0.25">
      <c r="A106" s="149"/>
      <c r="B106" s="123" t="s">
        <v>34</v>
      </c>
      <c r="C106" s="123"/>
      <c r="D106" s="240"/>
      <c r="E106" s="240"/>
    </row>
    <row r="107" spans="1:5" ht="13" thickBot="1" x14ac:dyDescent="0.3">
      <c r="A107" s="149"/>
      <c r="B107" s="123" t="s">
        <v>113</v>
      </c>
      <c r="C107" s="123"/>
      <c r="D107" s="240">
        <v>0</v>
      </c>
      <c r="E107" s="240">
        <v>0</v>
      </c>
    </row>
    <row r="108" spans="1:5" ht="13.5" thickBot="1" x14ac:dyDescent="0.35">
      <c r="A108" s="149"/>
      <c r="B108" s="123"/>
      <c r="C108" s="123"/>
      <c r="D108" s="238">
        <f>+SUM(D101:D107)</f>
        <v>0</v>
      </c>
      <c r="E108" s="238">
        <f>+SUM(E101:E107)</f>
        <v>0</v>
      </c>
    </row>
    <row r="109" spans="1:5" x14ac:dyDescent="0.25">
      <c r="A109" s="149"/>
      <c r="B109" s="123"/>
      <c r="C109" s="123"/>
      <c r="D109" s="121"/>
      <c r="E109" s="121"/>
    </row>
    <row r="110" spans="1:5" ht="13" x14ac:dyDescent="0.3">
      <c r="A110" s="155" t="s">
        <v>269</v>
      </c>
      <c r="B110" s="127" t="s">
        <v>313</v>
      </c>
      <c r="C110" s="123"/>
      <c r="D110" s="240">
        <f>+D99+D108</f>
        <v>0</v>
      </c>
      <c r="E110" s="240">
        <f>+E99+E108</f>
        <v>0</v>
      </c>
    </row>
    <row r="111" spans="1:5" ht="9.75" customHeight="1" x14ac:dyDescent="0.25">
      <c r="A111" s="149"/>
      <c r="B111" s="123"/>
      <c r="C111" s="123"/>
      <c r="D111" s="121"/>
      <c r="E111" s="121"/>
    </row>
    <row r="112" spans="1:5" ht="13" x14ac:dyDescent="0.3">
      <c r="A112" s="128" t="s">
        <v>270</v>
      </c>
      <c r="B112" s="128" t="s">
        <v>67</v>
      </c>
      <c r="C112" s="123"/>
      <c r="D112" s="242">
        <f>+D69+D89+D110</f>
        <v>54579.821999999986</v>
      </c>
      <c r="E112" s="242">
        <f>+E69+E89+E110</f>
        <v>15018.108000000066</v>
      </c>
    </row>
    <row r="113" spans="1:5" x14ac:dyDescent="0.25">
      <c r="A113" s="149"/>
      <c r="B113" s="123"/>
      <c r="C113" s="123"/>
      <c r="D113" s="121"/>
      <c r="E113" s="121"/>
    </row>
    <row r="114" spans="1:5" ht="13" x14ac:dyDescent="0.3">
      <c r="A114" s="155" t="s">
        <v>273</v>
      </c>
      <c r="B114" s="127" t="s">
        <v>271</v>
      </c>
      <c r="C114" s="117"/>
      <c r="D114" s="235">
        <f>92750871/1000</f>
        <v>92750.870999999999</v>
      </c>
      <c r="E114" s="235">
        <f>77732763/1000</f>
        <v>77732.763000000006</v>
      </c>
    </row>
    <row r="115" spans="1:5" x14ac:dyDescent="0.25">
      <c r="A115" s="149"/>
      <c r="B115" s="118"/>
      <c r="C115" s="124"/>
      <c r="D115" s="249"/>
      <c r="E115" s="250"/>
    </row>
    <row r="116" spans="1:5" ht="13" x14ac:dyDescent="0.3">
      <c r="A116" s="156" t="s">
        <v>274</v>
      </c>
      <c r="B116" s="128" t="s">
        <v>272</v>
      </c>
      <c r="C116" s="124"/>
      <c r="D116" s="251">
        <f>+D112+D114</f>
        <v>147330.69299999997</v>
      </c>
      <c r="E116" s="251">
        <f>+E112+E114</f>
        <v>92750.871000000072</v>
      </c>
    </row>
    <row r="117" spans="1:5" s="49" customFormat="1" ht="13" x14ac:dyDescent="0.3">
      <c r="A117" s="129"/>
      <c r="B117" s="130"/>
      <c r="C117" s="103"/>
      <c r="D117" s="85"/>
      <c r="E117" s="85"/>
    </row>
    <row r="118" spans="1:5" x14ac:dyDescent="0.25">
      <c r="B118" s="49" t="s">
        <v>86</v>
      </c>
      <c r="C118" s="131"/>
      <c r="D118" s="252"/>
      <c r="E118" s="252"/>
    </row>
    <row r="119" spans="1:5" x14ac:dyDescent="0.25">
      <c r="B119" s="49" t="s">
        <v>194</v>
      </c>
      <c r="D119" s="246"/>
    </row>
    <row r="120" spans="1:5" x14ac:dyDescent="0.25">
      <c r="A120" s="49"/>
      <c r="B120" s="108"/>
      <c r="D120" s="246"/>
    </row>
    <row r="121" spans="1:5" x14ac:dyDescent="0.25">
      <c r="A121" s="133"/>
      <c r="B121" s="108"/>
      <c r="D121" s="246"/>
    </row>
    <row r="122" spans="1:5" x14ac:dyDescent="0.25">
      <c r="A122" s="133"/>
      <c r="B122" s="108"/>
      <c r="D122" s="246"/>
    </row>
    <row r="123" spans="1:5" x14ac:dyDescent="0.25">
      <c r="A123" s="133"/>
      <c r="B123" s="108"/>
      <c r="D123" s="246"/>
    </row>
    <row r="124" spans="1:5" x14ac:dyDescent="0.25">
      <c r="A124" s="133"/>
      <c r="B124" s="108"/>
      <c r="D124" s="246"/>
    </row>
    <row r="125" spans="1:5" x14ac:dyDescent="0.25">
      <c r="B125" s="50" t="s">
        <v>174</v>
      </c>
      <c r="D125" s="246"/>
    </row>
    <row r="126" spans="1:5" x14ac:dyDescent="0.25">
      <c r="B126" s="51" t="s">
        <v>187</v>
      </c>
      <c r="D126" s="246"/>
    </row>
    <row r="127" spans="1:5" x14ac:dyDescent="0.25">
      <c r="B127" s="41" t="s">
        <v>195</v>
      </c>
      <c r="D127" s="246"/>
    </row>
    <row r="128" spans="1:5" x14ac:dyDescent="0.25">
      <c r="B128" s="41" t="s">
        <v>196</v>
      </c>
      <c r="D128" s="246"/>
    </row>
    <row r="129" spans="1:5" ht="13.25" customHeight="1" x14ac:dyDescent="0.25">
      <c r="B129" s="243" t="s">
        <v>292</v>
      </c>
      <c r="C129" s="243"/>
      <c r="D129" s="243"/>
      <c r="E129" s="243"/>
    </row>
    <row r="130" spans="1:5" x14ac:dyDescent="0.25">
      <c r="A130" s="133"/>
      <c r="B130" s="108"/>
      <c r="D130" s="246"/>
    </row>
    <row r="131" spans="1:5" x14ac:dyDescent="0.25">
      <c r="A131" s="133"/>
      <c r="B131" s="108"/>
      <c r="D131" s="246"/>
    </row>
    <row r="132" spans="1:5" x14ac:dyDescent="0.25">
      <c r="A132" s="133"/>
      <c r="B132" s="108"/>
      <c r="D132" s="246"/>
    </row>
    <row r="133" spans="1:5" x14ac:dyDescent="0.25">
      <c r="A133" s="133"/>
      <c r="B133" s="108"/>
      <c r="D133" s="246"/>
    </row>
    <row r="134" spans="1:5" x14ac:dyDescent="0.25">
      <c r="A134" s="133"/>
      <c r="B134" s="108"/>
      <c r="D134" s="246"/>
    </row>
    <row r="135" spans="1:5" x14ac:dyDescent="0.25">
      <c r="A135" s="133"/>
      <c r="B135" s="108"/>
      <c r="D135" s="246"/>
    </row>
    <row r="136" spans="1:5" x14ac:dyDescent="0.25">
      <c r="A136" s="133"/>
      <c r="B136" s="108"/>
      <c r="D136" s="246"/>
    </row>
    <row r="137" spans="1:5" x14ac:dyDescent="0.25">
      <c r="A137" s="133"/>
      <c r="B137" s="108"/>
      <c r="D137" s="246"/>
    </row>
    <row r="138" spans="1:5" x14ac:dyDescent="0.25">
      <c r="A138" s="133"/>
      <c r="B138" s="108"/>
      <c r="D138" s="246"/>
    </row>
    <row r="139" spans="1:5" x14ac:dyDescent="0.25">
      <c r="A139" s="133"/>
      <c r="B139" s="108"/>
      <c r="D139" s="246"/>
    </row>
    <row r="140" spans="1:5" x14ac:dyDescent="0.25">
      <c r="A140" s="133"/>
      <c r="B140" s="108"/>
      <c r="D140" s="246"/>
    </row>
    <row r="141" spans="1:5" x14ac:dyDescent="0.25">
      <c r="A141" s="133"/>
      <c r="B141" s="108"/>
      <c r="D141" s="246"/>
    </row>
    <row r="142" spans="1:5" x14ac:dyDescent="0.25">
      <c r="A142" s="133"/>
      <c r="B142" s="108"/>
      <c r="D142" s="246"/>
    </row>
    <row r="143" spans="1:5" x14ac:dyDescent="0.25">
      <c r="A143" s="133"/>
      <c r="B143" s="108"/>
      <c r="D143" s="246"/>
    </row>
    <row r="144" spans="1:5" x14ac:dyDescent="0.25">
      <c r="A144" s="133"/>
      <c r="B144" s="108"/>
      <c r="D144" s="246"/>
    </row>
    <row r="145" spans="1:4" x14ac:dyDescent="0.25">
      <c r="A145" s="133"/>
      <c r="B145" s="108"/>
      <c r="D145" s="246"/>
    </row>
    <row r="146" spans="1:4" x14ac:dyDescent="0.25">
      <c r="A146" s="133"/>
      <c r="B146" s="108"/>
      <c r="D146" s="246"/>
    </row>
    <row r="147" spans="1:4" x14ac:dyDescent="0.25">
      <c r="A147" s="133"/>
      <c r="B147" s="108"/>
      <c r="D147" s="246"/>
    </row>
    <row r="148" spans="1:4" x14ac:dyDescent="0.25">
      <c r="A148" s="133"/>
      <c r="B148" s="108"/>
      <c r="D148" s="246"/>
    </row>
    <row r="149" spans="1:4" x14ac:dyDescent="0.25">
      <c r="A149" s="133"/>
      <c r="B149" s="108"/>
      <c r="D149" s="246"/>
    </row>
    <row r="150" spans="1:4" x14ac:dyDescent="0.25">
      <c r="A150" s="133"/>
      <c r="B150" s="108"/>
      <c r="D150" s="246"/>
    </row>
    <row r="151" spans="1:4" x14ac:dyDescent="0.25">
      <c r="A151" s="133"/>
      <c r="B151" s="108"/>
      <c r="D151" s="246"/>
    </row>
    <row r="152" spans="1:4" x14ac:dyDescent="0.25">
      <c r="A152" s="133"/>
      <c r="B152" s="108"/>
      <c r="D152" s="246"/>
    </row>
    <row r="153" spans="1:4" x14ac:dyDescent="0.25">
      <c r="A153" s="133"/>
      <c r="B153" s="108"/>
      <c r="D153" s="246"/>
    </row>
    <row r="154" spans="1:4" x14ac:dyDescent="0.25">
      <c r="A154" s="133"/>
      <c r="B154" s="108"/>
      <c r="D154" s="246"/>
    </row>
    <row r="155" spans="1:4" x14ac:dyDescent="0.25">
      <c r="A155" s="133"/>
      <c r="B155" s="108"/>
      <c r="D155" s="246"/>
    </row>
    <row r="156" spans="1:4" x14ac:dyDescent="0.25">
      <c r="A156" s="133"/>
      <c r="B156" s="108"/>
      <c r="D156" s="246"/>
    </row>
    <row r="157" spans="1:4" x14ac:dyDescent="0.25">
      <c r="A157" s="133"/>
      <c r="B157" s="108"/>
      <c r="D157" s="246"/>
    </row>
    <row r="158" spans="1:4" x14ac:dyDescent="0.25">
      <c r="A158" s="133"/>
      <c r="B158" s="108"/>
      <c r="D158" s="246"/>
    </row>
    <row r="159" spans="1:4" x14ac:dyDescent="0.25">
      <c r="A159" s="133"/>
      <c r="B159" s="108"/>
      <c r="D159" s="246"/>
    </row>
    <row r="160" spans="1:4" x14ac:dyDescent="0.25">
      <c r="A160" s="133"/>
      <c r="B160" s="108"/>
      <c r="D160" s="246"/>
    </row>
    <row r="161" spans="1:4" x14ac:dyDescent="0.25">
      <c r="A161" s="133"/>
      <c r="B161" s="108"/>
      <c r="D161" s="246"/>
    </row>
    <row r="162" spans="1:4" x14ac:dyDescent="0.25">
      <c r="A162" s="133"/>
      <c r="B162" s="108"/>
      <c r="D162" s="246"/>
    </row>
    <row r="163" spans="1:4" x14ac:dyDescent="0.25">
      <c r="A163" s="133"/>
      <c r="B163" s="108"/>
      <c r="D163" s="246"/>
    </row>
    <row r="164" spans="1:4" x14ac:dyDescent="0.25">
      <c r="A164" s="133"/>
      <c r="B164" s="108"/>
      <c r="D164" s="246"/>
    </row>
    <row r="165" spans="1:4" x14ac:dyDescent="0.25">
      <c r="A165" s="133"/>
      <c r="B165" s="108"/>
      <c r="D165" s="246"/>
    </row>
    <row r="166" spans="1:4" x14ac:dyDescent="0.25">
      <c r="A166" s="133"/>
      <c r="B166" s="108"/>
      <c r="D166" s="246"/>
    </row>
    <row r="167" spans="1:4" x14ac:dyDescent="0.25">
      <c r="A167" s="133"/>
      <c r="B167" s="108"/>
      <c r="D167" s="246"/>
    </row>
    <row r="168" spans="1:4" x14ac:dyDescent="0.25">
      <c r="A168" s="133"/>
      <c r="B168" s="108"/>
      <c r="D168" s="246"/>
    </row>
    <row r="169" spans="1:4" x14ac:dyDescent="0.25">
      <c r="A169" s="133"/>
      <c r="B169" s="108"/>
      <c r="D169" s="246"/>
    </row>
    <row r="170" spans="1:4" x14ac:dyDescent="0.25">
      <c r="A170" s="133"/>
      <c r="B170" s="108"/>
      <c r="D170" s="246"/>
    </row>
    <row r="171" spans="1:4" x14ac:dyDescent="0.25">
      <c r="A171" s="133"/>
      <c r="B171" s="108"/>
      <c r="D171" s="246"/>
    </row>
    <row r="172" spans="1:4" x14ac:dyDescent="0.25">
      <c r="A172" s="133"/>
      <c r="B172" s="108"/>
      <c r="D172" s="246"/>
    </row>
    <row r="173" spans="1:4" x14ac:dyDescent="0.25">
      <c r="A173" s="133"/>
      <c r="B173" s="108"/>
      <c r="D173" s="246"/>
    </row>
    <row r="174" spans="1:4" x14ac:dyDescent="0.25">
      <c r="A174" s="133"/>
      <c r="B174" s="108"/>
      <c r="D174" s="246"/>
    </row>
    <row r="175" spans="1:4" x14ac:dyDescent="0.25">
      <c r="A175" s="133"/>
      <c r="B175" s="108"/>
      <c r="D175" s="246"/>
    </row>
    <row r="176" spans="1:4" x14ac:dyDescent="0.25">
      <c r="A176" s="133"/>
      <c r="B176" s="108"/>
      <c r="D176" s="246"/>
    </row>
    <row r="177" spans="1:4" x14ac:dyDescent="0.25">
      <c r="A177" s="133"/>
      <c r="B177" s="108"/>
      <c r="D177" s="246"/>
    </row>
    <row r="178" spans="1:4" x14ac:dyDescent="0.25">
      <c r="A178" s="133"/>
      <c r="B178" s="108"/>
      <c r="D178" s="246"/>
    </row>
    <row r="179" spans="1:4" x14ac:dyDescent="0.25">
      <c r="A179" s="133"/>
      <c r="B179" s="108"/>
      <c r="D179" s="246"/>
    </row>
    <row r="180" spans="1:4" x14ac:dyDescent="0.25">
      <c r="A180" s="133"/>
      <c r="B180" s="108"/>
      <c r="D180" s="246"/>
    </row>
    <row r="181" spans="1:4" x14ac:dyDescent="0.25">
      <c r="A181" s="133"/>
      <c r="B181" s="108"/>
      <c r="D181" s="246"/>
    </row>
    <row r="182" spans="1:4" x14ac:dyDescent="0.25">
      <c r="A182" s="133"/>
      <c r="B182" s="108"/>
      <c r="D182" s="246"/>
    </row>
    <row r="183" spans="1:4" x14ac:dyDescent="0.25">
      <c r="A183" s="133"/>
      <c r="B183" s="108"/>
      <c r="D183" s="246"/>
    </row>
    <row r="184" spans="1:4" x14ac:dyDescent="0.25">
      <c r="A184" s="133"/>
      <c r="B184" s="108"/>
      <c r="D184" s="246"/>
    </row>
    <row r="185" spans="1:4" x14ac:dyDescent="0.25">
      <c r="A185" s="133"/>
      <c r="B185" s="108"/>
      <c r="D185" s="246"/>
    </row>
    <row r="186" spans="1:4" x14ac:dyDescent="0.25">
      <c r="A186" s="133"/>
      <c r="B186" s="108"/>
      <c r="D186" s="246"/>
    </row>
    <row r="187" spans="1:4" x14ac:dyDescent="0.25">
      <c r="A187" s="133"/>
      <c r="B187" s="108"/>
      <c r="D187" s="246"/>
    </row>
    <row r="188" spans="1:4" x14ac:dyDescent="0.25">
      <c r="A188" s="133"/>
      <c r="B188" s="108"/>
      <c r="D188" s="246"/>
    </row>
    <row r="189" spans="1:4" x14ac:dyDescent="0.25">
      <c r="A189" s="133"/>
      <c r="B189" s="108"/>
      <c r="D189" s="246"/>
    </row>
    <row r="190" spans="1:4" x14ac:dyDescent="0.25">
      <c r="A190" s="133"/>
      <c r="B190" s="108"/>
      <c r="D190" s="246"/>
    </row>
    <row r="191" spans="1:4" x14ac:dyDescent="0.25">
      <c r="A191" s="133"/>
      <c r="B191" s="108"/>
      <c r="D191" s="246"/>
    </row>
    <row r="192" spans="1:4" x14ac:dyDescent="0.25">
      <c r="A192" s="133"/>
      <c r="B192" s="108"/>
      <c r="D192" s="246"/>
    </row>
    <row r="193" spans="1:4" x14ac:dyDescent="0.25">
      <c r="A193" s="133"/>
      <c r="B193" s="108"/>
      <c r="D193" s="246"/>
    </row>
    <row r="194" spans="1:4" x14ac:dyDescent="0.25">
      <c r="A194" s="133"/>
      <c r="B194" s="108"/>
      <c r="D194" s="246"/>
    </row>
    <row r="195" spans="1:4" x14ac:dyDescent="0.25">
      <c r="A195" s="133"/>
      <c r="B195" s="108"/>
      <c r="D195" s="246"/>
    </row>
    <row r="196" spans="1:4" x14ac:dyDescent="0.25">
      <c r="A196" s="133"/>
      <c r="B196" s="108"/>
      <c r="D196" s="246"/>
    </row>
    <row r="197" spans="1:4" x14ac:dyDescent="0.25">
      <c r="A197" s="133"/>
      <c r="B197" s="108"/>
      <c r="D197" s="246"/>
    </row>
    <row r="198" spans="1:4" x14ac:dyDescent="0.25">
      <c r="A198" s="133"/>
      <c r="B198" s="108"/>
      <c r="D198" s="246"/>
    </row>
    <row r="199" spans="1:4" x14ac:dyDescent="0.25">
      <c r="A199" s="133"/>
      <c r="B199" s="108"/>
      <c r="D199" s="246"/>
    </row>
    <row r="200" spans="1:4" x14ac:dyDescent="0.25">
      <c r="A200" s="133"/>
      <c r="B200" s="108"/>
      <c r="D200" s="246"/>
    </row>
    <row r="201" spans="1:4" x14ac:dyDescent="0.25">
      <c r="A201" s="133"/>
      <c r="B201" s="108"/>
      <c r="D201" s="246"/>
    </row>
    <row r="202" spans="1:4" x14ac:dyDescent="0.25">
      <c r="A202" s="133"/>
      <c r="B202" s="108"/>
      <c r="D202" s="246"/>
    </row>
    <row r="203" spans="1:4" x14ac:dyDescent="0.25">
      <c r="A203" s="133"/>
      <c r="B203" s="108"/>
      <c r="D203" s="246"/>
    </row>
    <row r="204" spans="1:4" x14ac:dyDescent="0.25">
      <c r="A204" s="133"/>
      <c r="B204" s="108"/>
      <c r="D204" s="246"/>
    </row>
    <row r="205" spans="1:4" x14ac:dyDescent="0.25">
      <c r="A205" s="133"/>
      <c r="B205" s="108"/>
      <c r="D205" s="246"/>
    </row>
    <row r="206" spans="1:4" x14ac:dyDescent="0.25">
      <c r="A206" s="133"/>
      <c r="B206" s="108"/>
      <c r="D206" s="246"/>
    </row>
    <row r="207" spans="1:4" x14ac:dyDescent="0.25">
      <c r="A207" s="133"/>
      <c r="B207" s="108"/>
      <c r="D207" s="246"/>
    </row>
    <row r="208" spans="1:4" x14ac:dyDescent="0.25">
      <c r="A208" s="133"/>
      <c r="B208" s="108"/>
      <c r="D208" s="246"/>
    </row>
    <row r="209" spans="1:4" x14ac:dyDescent="0.25">
      <c r="A209" s="133"/>
      <c r="B209" s="108"/>
      <c r="D209" s="246"/>
    </row>
    <row r="210" spans="1:4" x14ac:dyDescent="0.25">
      <c r="A210" s="133"/>
      <c r="B210" s="108"/>
      <c r="D210" s="246"/>
    </row>
    <row r="211" spans="1:4" x14ac:dyDescent="0.25">
      <c r="A211" s="133"/>
      <c r="B211" s="108"/>
      <c r="D211" s="246"/>
    </row>
    <row r="212" spans="1:4" x14ac:dyDescent="0.25">
      <c r="A212" s="133"/>
      <c r="B212" s="108"/>
      <c r="D212" s="246"/>
    </row>
    <row r="213" spans="1:4" x14ac:dyDescent="0.25">
      <c r="A213" s="133"/>
      <c r="B213" s="108"/>
      <c r="D213" s="246"/>
    </row>
    <row r="214" spans="1:4" x14ac:dyDescent="0.25">
      <c r="A214" s="133"/>
      <c r="B214" s="108"/>
      <c r="D214" s="246"/>
    </row>
    <row r="215" spans="1:4" x14ac:dyDescent="0.25">
      <c r="A215" s="133"/>
      <c r="B215" s="108"/>
      <c r="D215" s="246"/>
    </row>
    <row r="216" spans="1:4" x14ac:dyDescent="0.25">
      <c r="A216" s="133"/>
      <c r="B216" s="108"/>
      <c r="D216" s="246"/>
    </row>
  </sheetData>
  <pageMargins left="0.11811023622047245" right="0.11811023622047245" top="0.55118110236220474" bottom="0.35433070866141736" header="0.31496062992125984" footer="0.31496062992125984"/>
  <pageSetup scale="80" orientation="portrait" r:id="rId1"/>
  <headerFooter>
    <oddFooter>&amp;R&amp;P/&amp;N</oddFooter>
  </headerFooter>
  <rowBreaks count="2" manualBreakCount="2">
    <brk id="65" max="4" man="1"/>
    <brk id="123"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3"/>
  <sheetViews>
    <sheetView showGridLines="0" topLeftCell="A7" zoomScaleNormal="100" workbookViewId="0">
      <selection activeCell="A10" sqref="A10"/>
    </sheetView>
  </sheetViews>
  <sheetFormatPr baseColWidth="10" defaultColWidth="10.90625" defaultRowHeight="14.5" x14ac:dyDescent="0.35"/>
  <cols>
    <col min="1" max="1" width="84.6328125" style="255" customWidth="1"/>
    <col min="2" max="16384" width="10.90625" style="255"/>
  </cols>
  <sheetData>
    <row r="1" spans="1:1" ht="15.5" x14ac:dyDescent="0.35">
      <c r="A1" s="254"/>
    </row>
    <row r="2" spans="1:1" ht="15.5" x14ac:dyDescent="0.35">
      <c r="A2" s="254"/>
    </row>
    <row r="3" spans="1:1" ht="15.5" x14ac:dyDescent="0.35">
      <c r="A3" s="254"/>
    </row>
    <row r="4" spans="1:1" ht="15.5" x14ac:dyDescent="0.35">
      <c r="A4" s="254"/>
    </row>
    <row r="5" spans="1:1" ht="15.5" x14ac:dyDescent="0.35">
      <c r="A5" s="254"/>
    </row>
    <row r="6" spans="1:1" ht="15.5" x14ac:dyDescent="0.35">
      <c r="A6" s="254"/>
    </row>
    <row r="7" spans="1:1" ht="15.5" x14ac:dyDescent="0.35">
      <c r="A7" s="254"/>
    </row>
    <row r="8" spans="1:1" ht="15.5" x14ac:dyDescent="0.35">
      <c r="A8" s="254"/>
    </row>
    <row r="9" spans="1:1" ht="15.5" x14ac:dyDescent="0.35">
      <c r="A9" s="254" t="s">
        <v>315</v>
      </c>
    </row>
    <row r="10" spans="1:1" ht="15.5" x14ac:dyDescent="0.35">
      <c r="A10" s="254" t="s">
        <v>322</v>
      </c>
    </row>
    <row r="11" spans="1:1" ht="15.5" x14ac:dyDescent="0.35">
      <c r="A11" s="254" t="s">
        <v>319</v>
      </c>
    </row>
    <row r="12" spans="1:1" ht="15.5" x14ac:dyDescent="0.35">
      <c r="A12" s="256"/>
    </row>
    <row r="13" spans="1:1" x14ac:dyDescent="0.35">
      <c r="A13" s="257" t="s">
        <v>318</v>
      </c>
    </row>
    <row r="14" spans="1:1" ht="15.5" x14ac:dyDescent="0.35">
      <c r="A14" s="256"/>
    </row>
    <row r="15" spans="1:1" ht="15.5" x14ac:dyDescent="0.35">
      <c r="A15" s="256"/>
    </row>
    <row r="16" spans="1:1" ht="15.5" x14ac:dyDescent="0.35">
      <c r="A16" s="254" t="s">
        <v>316</v>
      </c>
    </row>
    <row r="17" spans="1:1" ht="15.5" x14ac:dyDescent="0.35">
      <c r="A17" s="254"/>
    </row>
    <row r="18" spans="1:1" ht="15.5" x14ac:dyDescent="0.35">
      <c r="A18" s="258"/>
    </row>
    <row r="19" spans="1:1" ht="15.5" x14ac:dyDescent="0.35">
      <c r="A19" s="254" t="s">
        <v>321</v>
      </c>
    </row>
    <row r="20" spans="1:1" ht="15.5" x14ac:dyDescent="0.35">
      <c r="A20" s="258"/>
    </row>
    <row r="21" spans="1:1" ht="15.5" x14ac:dyDescent="0.35">
      <c r="A21" s="259"/>
    </row>
    <row r="22" spans="1:1" ht="15.5" x14ac:dyDescent="0.35">
      <c r="A22" s="259"/>
    </row>
    <row r="23" spans="1:1" ht="15.5" x14ac:dyDescent="0.35">
      <c r="A23" s="258"/>
    </row>
    <row r="24" spans="1:1" ht="15.5" x14ac:dyDescent="0.35">
      <c r="A24" s="258"/>
    </row>
    <row r="25" spans="1:1" ht="15.5" x14ac:dyDescent="0.35">
      <c r="A25" s="260"/>
    </row>
    <row r="26" spans="1:1" ht="15.5" x14ac:dyDescent="0.35">
      <c r="A26" s="260"/>
    </row>
    <row r="27" spans="1:1" x14ac:dyDescent="0.35">
      <c r="A27" s="257"/>
    </row>
    <row r="28" spans="1:1" x14ac:dyDescent="0.35">
      <c r="A28" s="257"/>
    </row>
    <row r="29" spans="1:1" x14ac:dyDescent="0.35">
      <c r="A29" s="257"/>
    </row>
    <row r="30" spans="1:1" x14ac:dyDescent="0.35">
      <c r="A30" s="257"/>
    </row>
    <row r="31" spans="1:1" x14ac:dyDescent="0.35">
      <c r="A31" s="257"/>
    </row>
    <row r="32" spans="1:1" x14ac:dyDescent="0.35">
      <c r="A32" s="257"/>
    </row>
    <row r="33" spans="1:1" x14ac:dyDescent="0.35">
      <c r="A33" s="257"/>
    </row>
  </sheetData>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3"/>
  <sheetViews>
    <sheetView showGridLines="0" view="pageBreakPreview" topLeftCell="A4" zoomScaleNormal="100" zoomScaleSheetLayoutView="100" workbookViewId="0">
      <selection activeCell="B21" sqref="B21"/>
    </sheetView>
  </sheetViews>
  <sheetFormatPr baseColWidth="10" defaultColWidth="11.453125" defaultRowHeight="12.5" x14ac:dyDescent="0.25"/>
  <cols>
    <col min="1" max="1" width="6.08984375" style="49" customWidth="1"/>
    <col min="2" max="2" width="74.81640625" style="72" customWidth="1"/>
    <col min="3" max="3" width="13.08984375" style="72" customWidth="1"/>
    <col min="4" max="16384" width="11.453125" style="49"/>
  </cols>
  <sheetData>
    <row r="1" spans="1:3" s="41" customFormat="1" ht="13" x14ac:dyDescent="0.3">
      <c r="B1" s="52"/>
      <c r="C1" s="52"/>
    </row>
    <row r="2" spans="1:3" s="41" customFormat="1" ht="13" x14ac:dyDescent="0.3">
      <c r="B2" s="52"/>
      <c r="C2" s="52"/>
    </row>
    <row r="3" spans="1:3" s="41" customFormat="1" ht="13" x14ac:dyDescent="0.3">
      <c r="B3" s="52"/>
      <c r="C3" s="52"/>
    </row>
    <row r="4" spans="1:3" s="41" customFormat="1" ht="33.75" customHeight="1" x14ac:dyDescent="0.3">
      <c r="B4" s="52"/>
      <c r="C4" s="52"/>
    </row>
    <row r="5" spans="1:3" s="41" customFormat="1" ht="15.75" customHeight="1" x14ac:dyDescent="0.25">
      <c r="B5" s="36" t="s">
        <v>199</v>
      </c>
      <c r="C5" s="53"/>
    </row>
    <row r="6" spans="1:3" s="41" customFormat="1" ht="13" x14ac:dyDescent="0.25">
      <c r="A6" s="42"/>
      <c r="B6" s="37" t="s">
        <v>25</v>
      </c>
      <c r="C6" s="54"/>
    </row>
    <row r="7" spans="1:3" s="41" customFormat="1" ht="15" customHeight="1" x14ac:dyDescent="0.25">
      <c r="B7" s="38" t="s">
        <v>197</v>
      </c>
      <c r="C7" s="55"/>
    </row>
    <row r="8" spans="1:3" s="41" customFormat="1" ht="13.5" customHeight="1" x14ac:dyDescent="0.25">
      <c r="B8" s="37" t="s">
        <v>173</v>
      </c>
      <c r="C8" s="56"/>
    </row>
    <row r="9" spans="1:3" s="41" customFormat="1" ht="13.5" customHeight="1" x14ac:dyDescent="0.25">
      <c r="A9" s="43"/>
      <c r="B9" s="43"/>
      <c r="C9" s="57" t="s">
        <v>198</v>
      </c>
    </row>
    <row r="10" spans="1:3" ht="13" x14ac:dyDescent="0.25">
      <c r="A10" s="39"/>
      <c r="B10" s="39" t="s">
        <v>36</v>
      </c>
      <c r="C10" s="58"/>
    </row>
    <row r="11" spans="1:3" ht="13" x14ac:dyDescent="0.3">
      <c r="A11" s="44">
        <v>110</v>
      </c>
      <c r="B11" s="60" t="s">
        <v>297</v>
      </c>
      <c r="C11" s="61"/>
    </row>
    <row r="12" spans="1:3" ht="13" x14ac:dyDescent="0.3">
      <c r="A12" s="64"/>
      <c r="B12" s="64"/>
      <c r="C12" s="61"/>
    </row>
    <row r="13" spans="1:3" ht="15.75" customHeight="1" x14ac:dyDescent="0.3">
      <c r="A13" s="44">
        <v>111</v>
      </c>
      <c r="B13" s="60" t="s">
        <v>104</v>
      </c>
      <c r="C13" s="61"/>
    </row>
    <row r="14" spans="1:3" ht="13" x14ac:dyDescent="0.3">
      <c r="A14" s="45">
        <v>123</v>
      </c>
      <c r="B14" s="60" t="s">
        <v>105</v>
      </c>
      <c r="C14" s="61"/>
    </row>
    <row r="15" spans="1:3" ht="13.5" customHeight="1" x14ac:dyDescent="0.3">
      <c r="A15" s="45"/>
      <c r="B15" s="60"/>
      <c r="C15" s="63"/>
    </row>
    <row r="16" spans="1:3" ht="13" x14ac:dyDescent="0.3">
      <c r="A16" s="44">
        <v>199</v>
      </c>
      <c r="B16" s="60" t="s">
        <v>293</v>
      </c>
      <c r="C16" s="63"/>
    </row>
    <row r="17" spans="1:3" ht="33" customHeight="1" x14ac:dyDescent="0.3">
      <c r="A17" s="44">
        <v>134</v>
      </c>
      <c r="B17" s="60" t="s">
        <v>106</v>
      </c>
      <c r="C17" s="61"/>
    </row>
    <row r="18" spans="1:3" ht="13" x14ac:dyDescent="0.3">
      <c r="A18" s="44">
        <v>137</v>
      </c>
      <c r="B18" s="60" t="s">
        <v>294</v>
      </c>
      <c r="C18" s="63"/>
    </row>
    <row r="19" spans="1:3" ht="13" x14ac:dyDescent="0.3">
      <c r="A19" s="168"/>
      <c r="B19" s="64" t="s">
        <v>70</v>
      </c>
      <c r="C19" s="61"/>
    </row>
    <row r="20" spans="1:3" ht="13" x14ac:dyDescent="0.3">
      <c r="A20" s="44">
        <v>149</v>
      </c>
      <c r="B20" s="60" t="s">
        <v>212</v>
      </c>
      <c r="C20" s="63"/>
    </row>
    <row r="21" spans="1:3" ht="13" x14ac:dyDescent="0.3">
      <c r="A21" s="64"/>
      <c r="B21" s="64" t="s">
        <v>70</v>
      </c>
      <c r="C21" s="61"/>
    </row>
    <row r="22" spans="1:3" ht="13" x14ac:dyDescent="0.3">
      <c r="A22" s="44">
        <v>152</v>
      </c>
      <c r="B22" s="60" t="s">
        <v>289</v>
      </c>
      <c r="C22" s="63"/>
    </row>
    <row r="23" spans="1:3" ht="13" x14ac:dyDescent="0.3">
      <c r="A23" s="64"/>
      <c r="B23" s="64" t="s">
        <v>70</v>
      </c>
      <c r="C23" s="61"/>
    </row>
    <row r="24" spans="1:3" ht="13" x14ac:dyDescent="0.3">
      <c r="A24" s="44">
        <v>155</v>
      </c>
      <c r="B24" s="60" t="s">
        <v>208</v>
      </c>
      <c r="C24" s="63"/>
    </row>
    <row r="25" spans="1:3" ht="13" x14ac:dyDescent="0.3">
      <c r="A25" s="64"/>
      <c r="B25" s="64" t="s">
        <v>70</v>
      </c>
      <c r="C25" s="63"/>
    </row>
    <row r="26" spans="1:3" ht="13" x14ac:dyDescent="0.3">
      <c r="A26" s="44">
        <v>161</v>
      </c>
      <c r="B26" s="60" t="s">
        <v>0</v>
      </c>
      <c r="C26" s="63"/>
    </row>
    <row r="27" spans="1:3" ht="13" x14ac:dyDescent="0.3">
      <c r="A27" s="64"/>
      <c r="B27" s="64" t="s">
        <v>70</v>
      </c>
      <c r="C27" s="61"/>
    </row>
    <row r="28" spans="1:3" ht="13" x14ac:dyDescent="0.3">
      <c r="A28" s="44">
        <v>164</v>
      </c>
      <c r="B28" s="60" t="s">
        <v>155</v>
      </c>
      <c r="C28" s="63"/>
    </row>
    <row r="29" spans="1:3" ht="13" x14ac:dyDescent="0.3">
      <c r="A29" s="64"/>
      <c r="B29" s="64" t="s">
        <v>70</v>
      </c>
      <c r="C29" s="61"/>
    </row>
    <row r="30" spans="1:3" ht="13" x14ac:dyDescent="0.3">
      <c r="A30" s="44">
        <v>167</v>
      </c>
      <c r="B30" s="60" t="s">
        <v>209</v>
      </c>
      <c r="C30" s="63"/>
    </row>
    <row r="31" spans="1:3" ht="13" x14ac:dyDescent="0.3">
      <c r="A31" s="64"/>
      <c r="B31" s="65" t="s">
        <v>70</v>
      </c>
      <c r="C31" s="61"/>
    </row>
    <row r="32" spans="1:3" ht="13" x14ac:dyDescent="0.3">
      <c r="A32" s="44">
        <v>171</v>
      </c>
      <c r="B32" s="60" t="s">
        <v>285</v>
      </c>
      <c r="C32" s="63"/>
    </row>
    <row r="33" spans="1:3" ht="13" x14ac:dyDescent="0.3">
      <c r="A33" s="64"/>
      <c r="B33" s="65" t="s">
        <v>70</v>
      </c>
      <c r="C33" s="61"/>
    </row>
    <row r="34" spans="1:3" ht="13" x14ac:dyDescent="0.3">
      <c r="A34" s="44">
        <v>181</v>
      </c>
      <c r="B34" s="60" t="s">
        <v>95</v>
      </c>
      <c r="C34" s="63"/>
    </row>
    <row r="35" spans="1:3" ht="13" x14ac:dyDescent="0.3">
      <c r="A35" s="64"/>
      <c r="B35" s="65" t="s">
        <v>70</v>
      </c>
      <c r="C35" s="61"/>
    </row>
    <row r="36" spans="1:3" ht="13" x14ac:dyDescent="0.3">
      <c r="A36" s="44">
        <v>185</v>
      </c>
      <c r="B36" s="60" t="s">
        <v>96</v>
      </c>
      <c r="C36" s="63"/>
    </row>
    <row r="37" spans="1:3" ht="13" x14ac:dyDescent="0.3">
      <c r="A37" s="64"/>
      <c r="B37" s="65" t="s">
        <v>70</v>
      </c>
      <c r="C37" s="61"/>
    </row>
    <row r="38" spans="1:3" ht="13" x14ac:dyDescent="0.3">
      <c r="A38" s="44">
        <v>188</v>
      </c>
      <c r="B38" s="60" t="s">
        <v>210</v>
      </c>
      <c r="C38" s="63"/>
    </row>
    <row r="39" spans="1:3" ht="13" x14ac:dyDescent="0.3">
      <c r="A39" s="64"/>
      <c r="B39" s="65" t="s">
        <v>70</v>
      </c>
      <c r="C39" s="61"/>
    </row>
    <row r="40" spans="1:3" ht="13" x14ac:dyDescent="0.3">
      <c r="A40" s="44">
        <v>189</v>
      </c>
      <c r="B40" s="60" t="s">
        <v>54</v>
      </c>
      <c r="C40" s="63"/>
    </row>
    <row r="41" spans="1:3" ht="13" x14ac:dyDescent="0.3">
      <c r="A41" s="47"/>
      <c r="B41" s="63" t="s">
        <v>70</v>
      </c>
      <c r="C41" s="63"/>
    </row>
    <row r="42" spans="1:3" ht="13" x14ac:dyDescent="0.3">
      <c r="A42" s="40">
        <v>200</v>
      </c>
      <c r="B42" s="39" t="s">
        <v>37</v>
      </c>
      <c r="C42" s="66"/>
    </row>
    <row r="43" spans="1:3" ht="13" x14ac:dyDescent="0.3">
      <c r="A43" s="44">
        <v>210</v>
      </c>
      <c r="B43" s="60" t="s">
        <v>109</v>
      </c>
      <c r="C43" s="63"/>
    </row>
    <row r="44" spans="1:3" x14ac:dyDescent="0.25">
      <c r="A44" s="46">
        <v>211</v>
      </c>
      <c r="B44" s="62" t="s">
        <v>156</v>
      </c>
      <c r="C44" s="63"/>
    </row>
    <row r="45" spans="1:3" x14ac:dyDescent="0.25">
      <c r="A45" s="46">
        <f>+A44+1</f>
        <v>212</v>
      </c>
      <c r="B45" s="62" t="s">
        <v>157</v>
      </c>
      <c r="C45" s="63"/>
    </row>
    <row r="46" spans="1:3" x14ac:dyDescent="0.25">
      <c r="A46" s="46">
        <f t="shared" ref="A46:A52" si="0">+A45+1</f>
        <v>213</v>
      </c>
      <c r="B46" s="62" t="s">
        <v>158</v>
      </c>
      <c r="C46" s="63"/>
    </row>
    <row r="47" spans="1:3" ht="15" customHeight="1" x14ac:dyDescent="0.25">
      <c r="A47" s="46">
        <f t="shared" si="0"/>
        <v>214</v>
      </c>
      <c r="B47" s="62" t="s">
        <v>159</v>
      </c>
      <c r="C47" s="63"/>
    </row>
    <row r="48" spans="1:3" ht="17.399999999999999" customHeight="1" x14ac:dyDescent="0.25">
      <c r="A48" s="46">
        <f t="shared" si="0"/>
        <v>215</v>
      </c>
      <c r="B48" s="62" t="s">
        <v>110</v>
      </c>
      <c r="C48" s="63"/>
    </row>
    <row r="49" spans="1:3" x14ac:dyDescent="0.25">
      <c r="A49" s="46">
        <f t="shared" si="0"/>
        <v>216</v>
      </c>
      <c r="B49" s="62" t="s">
        <v>108</v>
      </c>
      <c r="C49" s="63"/>
    </row>
    <row r="50" spans="1:3" x14ac:dyDescent="0.25">
      <c r="A50" s="46">
        <f t="shared" si="0"/>
        <v>217</v>
      </c>
      <c r="B50" s="62" t="s">
        <v>107</v>
      </c>
      <c r="C50" s="63"/>
    </row>
    <row r="51" spans="1:3" ht="16.5" customHeight="1" x14ac:dyDescent="0.25">
      <c r="A51" s="46">
        <f t="shared" si="0"/>
        <v>218</v>
      </c>
      <c r="B51" s="62" t="s">
        <v>112</v>
      </c>
      <c r="C51" s="63"/>
    </row>
    <row r="52" spans="1:3" x14ac:dyDescent="0.25">
      <c r="A52" s="46">
        <f t="shared" si="0"/>
        <v>219</v>
      </c>
      <c r="B52" s="62" t="s">
        <v>111</v>
      </c>
      <c r="C52" s="63"/>
    </row>
    <row r="53" spans="1:3" ht="13" x14ac:dyDescent="0.3">
      <c r="A53" s="47"/>
      <c r="B53" s="62" t="s">
        <v>70</v>
      </c>
      <c r="C53" s="66"/>
    </row>
    <row r="54" spans="1:3" ht="13" x14ac:dyDescent="0.3">
      <c r="A54" s="146">
        <f>+A52+1</f>
        <v>220</v>
      </c>
      <c r="B54" s="60" t="s">
        <v>160</v>
      </c>
      <c r="C54" s="63"/>
    </row>
    <row r="55" spans="1:3" ht="13" x14ac:dyDescent="0.3">
      <c r="A55" s="47"/>
      <c r="B55" s="62"/>
      <c r="C55" s="63"/>
    </row>
    <row r="56" spans="1:3" ht="13" x14ac:dyDescent="0.3">
      <c r="A56" s="44">
        <v>227</v>
      </c>
      <c r="B56" s="60" t="s">
        <v>213</v>
      </c>
      <c r="C56" s="63"/>
    </row>
    <row r="57" spans="1:3" x14ac:dyDescent="0.25">
      <c r="A57" s="46">
        <v>228</v>
      </c>
      <c r="B57" s="62" t="s">
        <v>97</v>
      </c>
      <c r="C57" s="63"/>
    </row>
    <row r="58" spans="1:3" x14ac:dyDescent="0.25">
      <c r="A58" s="46">
        <v>229</v>
      </c>
      <c r="B58" s="62" t="s">
        <v>98</v>
      </c>
      <c r="C58" s="63"/>
    </row>
    <row r="59" spans="1:3" x14ac:dyDescent="0.25">
      <c r="A59" s="46">
        <v>230</v>
      </c>
      <c r="B59" s="62" t="s">
        <v>114</v>
      </c>
      <c r="C59" s="63"/>
    </row>
    <row r="60" spans="1:3" ht="13" x14ac:dyDescent="0.3">
      <c r="A60" s="46">
        <f>+A59+1</f>
        <v>231</v>
      </c>
      <c r="B60" s="62" t="s">
        <v>211</v>
      </c>
      <c r="C60" s="66"/>
    </row>
    <row r="61" spans="1:3" x14ac:dyDescent="0.25">
      <c r="A61" s="46"/>
      <c r="B61" s="62"/>
      <c r="C61" s="63"/>
    </row>
    <row r="62" spans="1:3" ht="13" x14ac:dyDescent="0.3">
      <c r="A62" s="44">
        <v>232</v>
      </c>
      <c r="B62" s="60" t="s">
        <v>113</v>
      </c>
      <c r="C62" s="63"/>
    </row>
    <row r="63" spans="1:3" x14ac:dyDescent="0.25">
      <c r="A63" s="46">
        <f>+A62+1</f>
        <v>233</v>
      </c>
      <c r="B63" s="62" t="s">
        <v>161</v>
      </c>
      <c r="C63" s="63"/>
    </row>
    <row r="64" spans="1:3" x14ac:dyDescent="0.25">
      <c r="A64" s="46">
        <f>+A63+1</f>
        <v>234</v>
      </c>
      <c r="B64" s="62" t="s">
        <v>115</v>
      </c>
      <c r="C64" s="63"/>
    </row>
    <row r="65" spans="1:3" x14ac:dyDescent="0.25">
      <c r="A65" s="46">
        <v>238</v>
      </c>
      <c r="B65" s="62" t="s">
        <v>99</v>
      </c>
      <c r="C65" s="63"/>
    </row>
    <row r="66" spans="1:3" x14ac:dyDescent="0.25">
      <c r="A66" s="46">
        <v>242</v>
      </c>
      <c r="B66" s="62" t="s">
        <v>162</v>
      </c>
      <c r="C66" s="67"/>
    </row>
    <row r="67" spans="1:3" ht="13" x14ac:dyDescent="0.3">
      <c r="A67" s="47"/>
      <c r="B67" s="64" t="s">
        <v>70</v>
      </c>
      <c r="C67" s="63"/>
    </row>
    <row r="68" spans="1:3" ht="13" x14ac:dyDescent="0.3">
      <c r="A68" s="44">
        <v>243</v>
      </c>
      <c r="B68" s="60" t="s">
        <v>100</v>
      </c>
      <c r="C68" s="67"/>
    </row>
    <row r="69" spans="1:3" ht="13" x14ac:dyDescent="0.3">
      <c r="A69" s="47"/>
      <c r="B69" s="64" t="s">
        <v>70</v>
      </c>
      <c r="C69" s="63"/>
    </row>
    <row r="70" spans="1:3" ht="13" x14ac:dyDescent="0.3">
      <c r="A70" s="44">
        <v>245</v>
      </c>
      <c r="B70" s="60" t="s">
        <v>214</v>
      </c>
      <c r="C70" s="67"/>
    </row>
    <row r="71" spans="1:3" ht="13" x14ac:dyDescent="0.3">
      <c r="A71" s="47"/>
      <c r="B71" s="64" t="s">
        <v>70</v>
      </c>
      <c r="C71" s="63"/>
    </row>
    <row r="72" spans="1:3" ht="13" x14ac:dyDescent="0.3">
      <c r="A72" s="44">
        <v>252</v>
      </c>
      <c r="B72" s="60" t="s">
        <v>101</v>
      </c>
      <c r="C72" s="67"/>
    </row>
    <row r="73" spans="1:3" ht="13" x14ac:dyDescent="0.3">
      <c r="A73" s="47"/>
      <c r="B73" s="64" t="s">
        <v>70</v>
      </c>
      <c r="C73" s="67"/>
    </row>
    <row r="74" spans="1:3" ht="13" x14ac:dyDescent="0.3">
      <c r="A74" s="44">
        <v>255</v>
      </c>
      <c r="B74" s="60" t="s">
        <v>102</v>
      </c>
      <c r="C74" s="61"/>
    </row>
    <row r="75" spans="1:3" ht="13" x14ac:dyDescent="0.3">
      <c r="A75" s="47"/>
      <c r="B75" s="63" t="s">
        <v>70</v>
      </c>
      <c r="C75" s="67"/>
    </row>
    <row r="76" spans="1:3" ht="13" x14ac:dyDescent="0.3">
      <c r="A76" s="169">
        <v>258</v>
      </c>
      <c r="B76" s="161" t="s">
        <v>171</v>
      </c>
      <c r="C76" s="65"/>
    </row>
    <row r="77" spans="1:3" ht="13" x14ac:dyDescent="0.3">
      <c r="A77" s="47"/>
      <c r="B77" s="65" t="s">
        <v>70</v>
      </c>
      <c r="C77" s="68"/>
    </row>
    <row r="78" spans="1:3" ht="13" x14ac:dyDescent="0.25">
      <c r="A78" s="40">
        <v>400</v>
      </c>
      <c r="B78" s="39" t="s">
        <v>38</v>
      </c>
      <c r="C78" s="63"/>
    </row>
    <row r="79" spans="1:3" ht="13" x14ac:dyDescent="0.3">
      <c r="A79" s="44">
        <v>410</v>
      </c>
      <c r="B79" s="60" t="s">
        <v>116</v>
      </c>
      <c r="C79" s="63"/>
    </row>
    <row r="80" spans="1:3" x14ac:dyDescent="0.25">
      <c r="A80" s="46">
        <v>411</v>
      </c>
      <c r="B80" s="63" t="s">
        <v>117</v>
      </c>
      <c r="C80" s="63"/>
    </row>
    <row r="81" spans="1:3" x14ac:dyDescent="0.25">
      <c r="A81" s="46">
        <v>415</v>
      </c>
      <c r="B81" s="63" t="s">
        <v>118</v>
      </c>
      <c r="C81" s="63"/>
    </row>
    <row r="82" spans="1:3" x14ac:dyDescent="0.25">
      <c r="A82" s="46">
        <v>428</v>
      </c>
      <c r="B82" s="63" t="s">
        <v>295</v>
      </c>
      <c r="C82" s="63"/>
    </row>
    <row r="83" spans="1:3" x14ac:dyDescent="0.25">
      <c r="A83" s="46">
        <v>418</v>
      </c>
      <c r="B83" s="63" t="s">
        <v>119</v>
      </c>
      <c r="C83" s="63"/>
    </row>
    <row r="84" spans="1:3" x14ac:dyDescent="0.25">
      <c r="A84" s="46">
        <v>419</v>
      </c>
      <c r="B84" s="63" t="s">
        <v>120</v>
      </c>
      <c r="C84" s="63"/>
    </row>
    <row r="85" spans="1:3" x14ac:dyDescent="0.25">
      <c r="A85" s="46">
        <v>423</v>
      </c>
      <c r="B85" s="63" t="s">
        <v>6</v>
      </c>
      <c r="C85" s="63"/>
    </row>
    <row r="86" spans="1:3" ht="13" x14ac:dyDescent="0.3">
      <c r="A86" s="46">
        <v>424</v>
      </c>
      <c r="B86" s="63" t="s">
        <v>121</v>
      </c>
      <c r="C86" s="65"/>
    </row>
    <row r="87" spans="1:3" ht="13" x14ac:dyDescent="0.3">
      <c r="A87" s="172"/>
      <c r="B87" s="172" t="s">
        <v>87</v>
      </c>
      <c r="C87" s="65"/>
    </row>
    <row r="88" spans="1:3" x14ac:dyDescent="0.25">
      <c r="A88" s="46"/>
      <c r="B88" s="63"/>
      <c r="C88" s="63"/>
    </row>
    <row r="89" spans="1:3" ht="13" x14ac:dyDescent="0.3">
      <c r="A89" s="44">
        <v>426</v>
      </c>
      <c r="B89" s="60" t="s">
        <v>103</v>
      </c>
      <c r="C89" s="61"/>
    </row>
    <row r="90" spans="1:3" ht="13" x14ac:dyDescent="0.3">
      <c r="A90" s="44">
        <v>427</v>
      </c>
      <c r="B90" s="60" t="s">
        <v>172</v>
      </c>
      <c r="C90" s="63"/>
    </row>
    <row r="91" spans="1:3" ht="13" x14ac:dyDescent="0.3">
      <c r="A91" s="47"/>
      <c r="B91" s="63" t="s">
        <v>70</v>
      </c>
      <c r="C91" s="61"/>
    </row>
    <row r="92" spans="1:3" ht="13" x14ac:dyDescent="0.3">
      <c r="A92" s="172"/>
      <c r="B92" s="172" t="s">
        <v>75</v>
      </c>
      <c r="C92" s="68"/>
    </row>
    <row r="93" spans="1:3" ht="13" x14ac:dyDescent="0.3">
      <c r="A93" s="47"/>
      <c r="B93" s="63" t="s">
        <v>70</v>
      </c>
      <c r="C93" s="61"/>
    </row>
    <row r="94" spans="1:3" ht="13" x14ac:dyDescent="0.3">
      <c r="A94" s="172"/>
      <c r="B94" s="172" t="s">
        <v>76</v>
      </c>
      <c r="C94" s="68"/>
    </row>
    <row r="95" spans="1:3" ht="13" x14ac:dyDescent="0.3">
      <c r="A95" s="47"/>
      <c r="B95" s="65" t="s">
        <v>70</v>
      </c>
      <c r="C95" s="68"/>
    </row>
    <row r="96" spans="1:3" ht="13" x14ac:dyDescent="0.25">
      <c r="A96" s="172"/>
      <c r="B96" s="172" t="s">
        <v>68</v>
      </c>
      <c r="C96" s="61"/>
    </row>
    <row r="97" spans="1:3" ht="13" x14ac:dyDescent="0.3">
      <c r="A97" s="47"/>
      <c r="B97" s="65" t="s">
        <v>70</v>
      </c>
      <c r="C97" s="61"/>
    </row>
    <row r="98" spans="1:3" ht="13" x14ac:dyDescent="0.25">
      <c r="A98" s="172">
        <v>710</v>
      </c>
      <c r="B98" s="172" t="s">
        <v>122</v>
      </c>
      <c r="C98" s="61"/>
    </row>
    <row r="99" spans="1:3" ht="13" x14ac:dyDescent="0.3">
      <c r="A99" s="47">
        <v>711</v>
      </c>
      <c r="B99" s="63" t="s">
        <v>71</v>
      </c>
      <c r="C99" s="61"/>
    </row>
    <row r="100" spans="1:3" ht="12.75" customHeight="1" x14ac:dyDescent="0.3">
      <c r="A100" s="47">
        <v>712</v>
      </c>
      <c r="B100" s="63" t="s">
        <v>72</v>
      </c>
      <c r="C100" s="61"/>
    </row>
    <row r="101" spans="1:3" ht="12.75" customHeight="1" x14ac:dyDescent="0.3">
      <c r="A101" s="47">
        <v>713</v>
      </c>
      <c r="B101" s="63" t="s">
        <v>73</v>
      </c>
      <c r="C101" s="61"/>
    </row>
    <row r="102" spans="1:3" ht="12" customHeight="1" x14ac:dyDescent="0.3">
      <c r="A102" s="47">
        <v>714</v>
      </c>
      <c r="B102" s="63" t="s">
        <v>74</v>
      </c>
      <c r="C102" s="61"/>
    </row>
    <row r="103" spans="1:3" ht="14.25" customHeight="1" x14ac:dyDescent="0.3">
      <c r="A103" s="47">
        <v>715</v>
      </c>
      <c r="B103" s="63" t="s">
        <v>124</v>
      </c>
      <c r="C103" s="61"/>
    </row>
    <row r="104" spans="1:3" ht="13" x14ac:dyDescent="0.3">
      <c r="A104" s="47">
        <v>716</v>
      </c>
      <c r="B104" s="63" t="s">
        <v>125</v>
      </c>
      <c r="C104" s="68"/>
    </row>
    <row r="105" spans="1:3" ht="19.5" customHeight="1" x14ac:dyDescent="0.3">
      <c r="A105" s="47">
        <v>717</v>
      </c>
      <c r="B105" s="63" t="s">
        <v>126</v>
      </c>
      <c r="C105" s="68"/>
    </row>
    <row r="106" spans="1:3" ht="13" x14ac:dyDescent="0.3">
      <c r="A106" s="47">
        <v>718</v>
      </c>
      <c r="B106" s="63" t="s">
        <v>127</v>
      </c>
      <c r="C106" s="68"/>
    </row>
    <row r="107" spans="1:3" ht="13" x14ac:dyDescent="0.3">
      <c r="A107" s="47"/>
      <c r="B107" s="65" t="s">
        <v>70</v>
      </c>
      <c r="C107" s="68"/>
    </row>
    <row r="108" spans="1:3" ht="13" x14ac:dyDescent="0.25">
      <c r="A108" s="172">
        <v>810</v>
      </c>
      <c r="B108" s="172" t="s">
        <v>123</v>
      </c>
      <c r="C108" s="159"/>
    </row>
    <row r="109" spans="1:3" x14ac:dyDescent="0.25">
      <c r="B109" s="71"/>
    </row>
    <row r="110" spans="1:3" x14ac:dyDescent="0.25">
      <c r="B110" s="71"/>
    </row>
    <row r="115" spans="1:3" x14ac:dyDescent="0.25">
      <c r="A115" s="50" t="s">
        <v>174</v>
      </c>
    </row>
    <row r="116" spans="1:3" x14ac:dyDescent="0.25">
      <c r="A116" s="51" t="s">
        <v>206</v>
      </c>
    </row>
    <row r="117" spans="1:3" x14ac:dyDescent="0.25">
      <c r="A117" s="51" t="s">
        <v>207</v>
      </c>
    </row>
    <row r="118" spans="1:3" x14ac:dyDescent="0.25">
      <c r="A118" s="49" t="s">
        <v>290</v>
      </c>
    </row>
    <row r="119" spans="1:3" x14ac:dyDescent="0.25">
      <c r="A119" s="51"/>
    </row>
    <row r="120" spans="1:3" ht="15.75" customHeight="1" x14ac:dyDescent="0.25">
      <c r="A120" s="51"/>
      <c r="B120" s="51"/>
      <c r="C120" s="51"/>
    </row>
    <row r="121" spans="1:3" ht="15.75" customHeight="1" x14ac:dyDescent="0.25">
      <c r="A121" s="51"/>
      <c r="B121" s="51"/>
      <c r="C121" s="51"/>
    </row>
    <row r="122" spans="1:3" ht="12.75" customHeight="1" x14ac:dyDescent="0.25">
      <c r="A122" s="51"/>
      <c r="B122" s="51"/>
      <c r="C122" s="51"/>
    </row>
    <row r="123" spans="1:3" x14ac:dyDescent="0.25">
      <c r="A123" s="51"/>
    </row>
  </sheetData>
  <pageMargins left="0.51181102362204722" right="0.51181102362204722" top="0.55118110236220474" bottom="0.55118110236220474" header="0.31496062992125984" footer="0.31496062992125984"/>
  <pageSetup scale="90" orientation="portrait" r:id="rId1"/>
  <headerFooter>
    <oddFooter>&amp;R&amp;P/&amp;N</oddFooter>
  </headerFooter>
  <rowBreaks count="1" manualBreakCount="1">
    <brk id="50" max="2" man="1"/>
  </rowBreaks>
  <colBreaks count="1" manualBreakCount="1">
    <brk id="3"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0"/>
  <sheetViews>
    <sheetView showGridLines="0" view="pageBreakPreview" topLeftCell="A49" zoomScale="130" zoomScaleNormal="100" zoomScaleSheetLayoutView="130" workbookViewId="0">
      <selection activeCell="B52" sqref="B52"/>
    </sheetView>
  </sheetViews>
  <sheetFormatPr baseColWidth="10" defaultColWidth="11.453125" defaultRowHeight="12.5" x14ac:dyDescent="0.25"/>
  <cols>
    <col min="1" max="1" width="5.54296875" style="49" customWidth="1"/>
    <col min="2" max="2" width="78.54296875" style="72" customWidth="1"/>
    <col min="3" max="3" width="13.1796875" style="88" customWidth="1"/>
    <col min="4" max="16384" width="11.453125" style="49"/>
  </cols>
  <sheetData>
    <row r="1" spans="1:3" x14ac:dyDescent="0.25">
      <c r="A1" s="270"/>
      <c r="B1" s="270"/>
      <c r="C1" s="270"/>
    </row>
    <row r="2" spans="1:3" x14ac:dyDescent="0.25">
      <c r="A2" s="270"/>
      <c r="B2" s="270"/>
      <c r="C2" s="270"/>
    </row>
    <row r="3" spans="1:3" x14ac:dyDescent="0.25">
      <c r="A3" s="270"/>
      <c r="B3" s="270"/>
      <c r="C3" s="270"/>
    </row>
    <row r="4" spans="1:3" x14ac:dyDescent="0.25">
      <c r="A4" s="270"/>
      <c r="B4" s="270"/>
      <c r="C4" s="270"/>
    </row>
    <row r="5" spans="1:3" ht="18.75" customHeight="1" x14ac:dyDescent="0.25">
      <c r="B5" s="141" t="s">
        <v>200</v>
      </c>
      <c r="C5" s="36"/>
    </row>
    <row r="6" spans="1:3" ht="13" x14ac:dyDescent="0.25">
      <c r="A6" s="136"/>
      <c r="B6" s="140" t="s">
        <v>25</v>
      </c>
      <c r="C6" s="137"/>
    </row>
    <row r="7" spans="1:3" ht="12.75" customHeight="1" x14ac:dyDescent="0.25">
      <c r="B7" s="55" t="s">
        <v>201</v>
      </c>
      <c r="C7" s="138"/>
    </row>
    <row r="8" spans="1:3" ht="13" x14ac:dyDescent="0.25">
      <c r="B8" s="140" t="s">
        <v>173</v>
      </c>
      <c r="C8" s="139"/>
    </row>
    <row r="9" spans="1:3" ht="24.75" customHeight="1" x14ac:dyDescent="0.25">
      <c r="A9" s="43"/>
      <c r="B9" s="43"/>
      <c r="C9" s="57" t="s">
        <v>198</v>
      </c>
    </row>
    <row r="10" spans="1:3" ht="13" x14ac:dyDescent="0.25">
      <c r="A10" s="40">
        <v>510</v>
      </c>
      <c r="B10" s="39" t="s">
        <v>41</v>
      </c>
      <c r="C10" s="61"/>
    </row>
    <row r="11" spans="1:3" ht="13" x14ac:dyDescent="0.3">
      <c r="A11" s="44">
        <v>511</v>
      </c>
      <c r="B11" s="75" t="s">
        <v>130</v>
      </c>
      <c r="C11" s="61"/>
    </row>
    <row r="12" spans="1:3" ht="13" x14ac:dyDescent="0.3">
      <c r="A12" s="46">
        <v>512</v>
      </c>
      <c r="B12" s="65" t="s">
        <v>131</v>
      </c>
      <c r="C12" s="61"/>
    </row>
    <row r="13" spans="1:3" ht="13" x14ac:dyDescent="0.3">
      <c r="A13" s="46">
        <v>513</v>
      </c>
      <c r="B13" s="65" t="s">
        <v>221</v>
      </c>
      <c r="C13" s="61"/>
    </row>
    <row r="14" spans="1:3" ht="13" x14ac:dyDescent="0.3">
      <c r="A14" s="46">
        <v>514</v>
      </c>
      <c r="B14" s="65" t="s">
        <v>215</v>
      </c>
      <c r="C14" s="61"/>
    </row>
    <row r="15" spans="1:3" ht="13" x14ac:dyDescent="0.3">
      <c r="A15" s="44">
        <v>515</v>
      </c>
      <c r="B15" s="60" t="s">
        <v>132</v>
      </c>
      <c r="C15" s="61"/>
    </row>
    <row r="16" spans="1:3" ht="13" x14ac:dyDescent="0.3">
      <c r="A16" s="47"/>
      <c r="B16" s="65" t="s">
        <v>70</v>
      </c>
      <c r="C16" s="61"/>
    </row>
    <row r="17" spans="1:3" ht="13" x14ac:dyDescent="0.3">
      <c r="A17" s="44">
        <v>516</v>
      </c>
      <c r="B17" s="60" t="s">
        <v>164</v>
      </c>
      <c r="C17" s="61"/>
    </row>
    <row r="18" spans="1:3" ht="27" customHeight="1" x14ac:dyDescent="0.3">
      <c r="A18" s="46">
        <v>517</v>
      </c>
      <c r="B18" s="64" t="s">
        <v>163</v>
      </c>
      <c r="C18" s="61"/>
    </row>
    <row r="19" spans="1:3" ht="13" x14ac:dyDescent="0.3">
      <c r="A19" s="46">
        <v>518</v>
      </c>
      <c r="B19" s="65" t="s">
        <v>165</v>
      </c>
      <c r="C19" s="61"/>
    </row>
    <row r="20" spans="1:3" ht="13" x14ac:dyDescent="0.3">
      <c r="A20" s="46">
        <v>519</v>
      </c>
      <c r="B20" s="65" t="s">
        <v>78</v>
      </c>
      <c r="C20" s="61"/>
    </row>
    <row r="21" spans="1:3" ht="13" x14ac:dyDescent="0.3">
      <c r="A21" s="47"/>
      <c r="B21" s="65" t="s">
        <v>70</v>
      </c>
      <c r="C21" s="61"/>
    </row>
    <row r="22" spans="1:3" ht="13" x14ac:dyDescent="0.3">
      <c r="A22" s="44">
        <v>520</v>
      </c>
      <c r="B22" s="60" t="s">
        <v>133</v>
      </c>
      <c r="C22" s="61"/>
    </row>
    <row r="23" spans="1:3" ht="13" x14ac:dyDescent="0.3">
      <c r="A23" s="46">
        <v>521</v>
      </c>
      <c r="B23" s="65" t="s">
        <v>166</v>
      </c>
      <c r="C23" s="61"/>
    </row>
    <row r="24" spans="1:3" ht="13" x14ac:dyDescent="0.3">
      <c r="A24" s="46">
        <v>522</v>
      </c>
      <c r="B24" s="65" t="s">
        <v>167</v>
      </c>
      <c r="C24" s="61"/>
    </row>
    <row r="25" spans="1:3" ht="13" x14ac:dyDescent="0.3">
      <c r="A25" s="47"/>
      <c r="B25" s="65" t="s">
        <v>70</v>
      </c>
      <c r="C25" s="61"/>
    </row>
    <row r="26" spans="1:3" ht="13" x14ac:dyDescent="0.3">
      <c r="A26" s="44">
        <v>523</v>
      </c>
      <c r="B26" s="60" t="s">
        <v>134</v>
      </c>
      <c r="C26" s="61"/>
    </row>
    <row r="27" spans="1:3" ht="13" x14ac:dyDescent="0.3">
      <c r="A27" s="47"/>
      <c r="B27" s="65" t="s">
        <v>70</v>
      </c>
      <c r="C27" s="61"/>
    </row>
    <row r="28" spans="1:3" ht="13" x14ac:dyDescent="0.25">
      <c r="A28" s="40">
        <v>524</v>
      </c>
      <c r="B28" s="39" t="s">
        <v>81</v>
      </c>
      <c r="C28" s="61"/>
    </row>
    <row r="29" spans="1:3" ht="13" x14ac:dyDescent="0.3">
      <c r="A29" s="47">
        <v>525</v>
      </c>
      <c r="B29" s="65" t="s">
        <v>135</v>
      </c>
      <c r="C29" s="61"/>
    </row>
    <row r="30" spans="1:3" ht="13" x14ac:dyDescent="0.3">
      <c r="A30" s="47">
        <v>526</v>
      </c>
      <c r="B30" s="65" t="s">
        <v>136</v>
      </c>
      <c r="C30" s="61"/>
    </row>
    <row r="31" spans="1:3" ht="13" x14ac:dyDescent="0.3">
      <c r="A31" s="47">
        <v>527</v>
      </c>
      <c r="B31" s="65" t="s">
        <v>222</v>
      </c>
      <c r="C31" s="61"/>
    </row>
    <row r="32" spans="1:3" ht="18.75" customHeight="1" x14ac:dyDescent="0.3">
      <c r="A32" s="47">
        <v>528</v>
      </c>
      <c r="B32" s="65" t="s">
        <v>137</v>
      </c>
      <c r="C32" s="61"/>
    </row>
    <row r="33" spans="1:3" ht="13" x14ac:dyDescent="0.3">
      <c r="A33" s="47"/>
      <c r="B33" s="65" t="s">
        <v>70</v>
      </c>
      <c r="C33" s="61"/>
    </row>
    <row r="34" spans="1:3" ht="13" x14ac:dyDescent="0.3">
      <c r="A34" s="45">
        <v>529</v>
      </c>
      <c r="B34" s="60" t="s">
        <v>138</v>
      </c>
      <c r="C34" s="61"/>
    </row>
    <row r="35" spans="1:3" ht="13" x14ac:dyDescent="0.3">
      <c r="A35" s="47"/>
      <c r="B35" s="65" t="s">
        <v>70</v>
      </c>
      <c r="C35" s="61"/>
    </row>
    <row r="36" spans="1:3" ht="13" x14ac:dyDescent="0.25">
      <c r="A36" s="40">
        <v>530</v>
      </c>
      <c r="B36" s="39" t="s">
        <v>82</v>
      </c>
      <c r="C36" s="61"/>
    </row>
    <row r="37" spans="1:3" ht="13" x14ac:dyDescent="0.3">
      <c r="A37" s="47"/>
      <c r="B37" s="65" t="s">
        <v>70</v>
      </c>
      <c r="C37" s="61"/>
    </row>
    <row r="38" spans="1:3" ht="13" x14ac:dyDescent="0.3">
      <c r="A38" s="47">
        <v>531</v>
      </c>
      <c r="B38" s="65" t="s">
        <v>139</v>
      </c>
      <c r="C38" s="61"/>
    </row>
    <row r="39" spans="1:3" ht="18" customHeight="1" x14ac:dyDescent="0.25">
      <c r="A39" s="46">
        <v>532</v>
      </c>
      <c r="B39" s="63" t="s">
        <v>140</v>
      </c>
      <c r="C39" s="61"/>
    </row>
    <row r="40" spans="1:3" x14ac:dyDescent="0.25">
      <c r="A40" s="46">
        <v>533</v>
      </c>
      <c r="B40" s="63" t="s">
        <v>142</v>
      </c>
      <c r="C40" s="61"/>
    </row>
    <row r="41" spans="1:3" x14ac:dyDescent="0.25">
      <c r="A41" s="46">
        <v>534</v>
      </c>
      <c r="B41" s="63" t="s">
        <v>141</v>
      </c>
      <c r="C41" s="61"/>
    </row>
    <row r="42" spans="1:3" ht="13" x14ac:dyDescent="0.3">
      <c r="A42" s="47"/>
      <c r="B42" s="63" t="s">
        <v>70</v>
      </c>
      <c r="C42" s="61"/>
    </row>
    <row r="43" spans="1:3" ht="13" x14ac:dyDescent="0.3">
      <c r="A43" s="47">
        <v>535</v>
      </c>
      <c r="B43" s="65" t="s">
        <v>216</v>
      </c>
      <c r="C43" s="61"/>
    </row>
    <row r="44" spans="1:3" ht="25.25" customHeight="1" x14ac:dyDescent="0.25">
      <c r="A44" s="63" t="s">
        <v>276</v>
      </c>
      <c r="B44" s="261" t="s">
        <v>217</v>
      </c>
      <c r="C44" s="61"/>
    </row>
    <row r="45" spans="1:3" x14ac:dyDescent="0.25">
      <c r="A45" s="46">
        <v>538</v>
      </c>
      <c r="B45" s="63" t="s">
        <v>218</v>
      </c>
      <c r="C45" s="61"/>
    </row>
    <row r="46" spans="1:3" ht="13" x14ac:dyDescent="0.3">
      <c r="A46" s="47"/>
      <c r="B46" s="65" t="s">
        <v>70</v>
      </c>
      <c r="C46" s="61"/>
    </row>
    <row r="47" spans="1:3" ht="13" x14ac:dyDescent="0.3">
      <c r="A47" s="47">
        <v>539</v>
      </c>
      <c r="B47" s="65" t="s">
        <v>275</v>
      </c>
      <c r="C47" s="61"/>
    </row>
    <row r="48" spans="1:3" ht="13" x14ac:dyDescent="0.3">
      <c r="A48" s="47"/>
      <c r="B48" s="65" t="s">
        <v>70</v>
      </c>
      <c r="C48" s="61"/>
    </row>
    <row r="49" spans="1:3" ht="13" x14ac:dyDescent="0.3">
      <c r="A49" s="44">
        <v>540</v>
      </c>
      <c r="B49" s="60" t="s">
        <v>168</v>
      </c>
      <c r="C49" s="61"/>
    </row>
    <row r="50" spans="1:3" ht="13" x14ac:dyDescent="0.3">
      <c r="A50" s="47"/>
      <c r="B50" s="65" t="s">
        <v>70</v>
      </c>
      <c r="C50" s="61"/>
    </row>
    <row r="51" spans="1:3" ht="13" x14ac:dyDescent="0.25">
      <c r="A51" s="40">
        <v>541</v>
      </c>
      <c r="B51" s="39" t="s">
        <v>42</v>
      </c>
      <c r="C51" s="61"/>
    </row>
    <row r="52" spans="1:3" ht="13" x14ac:dyDescent="0.3">
      <c r="A52" s="46">
        <v>542</v>
      </c>
      <c r="B52" s="65" t="s">
        <v>223</v>
      </c>
      <c r="C52" s="61"/>
    </row>
    <row r="53" spans="1:3" ht="13" x14ac:dyDescent="0.3">
      <c r="A53" s="46">
        <v>543</v>
      </c>
      <c r="B53" s="65" t="s">
        <v>143</v>
      </c>
      <c r="C53" s="61"/>
    </row>
    <row r="54" spans="1:3" ht="19.5" customHeight="1" x14ac:dyDescent="0.3">
      <c r="A54" s="46">
        <v>544</v>
      </c>
      <c r="B54" s="65" t="s">
        <v>224</v>
      </c>
      <c r="C54" s="61"/>
    </row>
    <row r="55" spans="1:3" ht="13" x14ac:dyDescent="0.3">
      <c r="A55" s="46">
        <v>545</v>
      </c>
      <c r="B55" s="65" t="s">
        <v>225</v>
      </c>
      <c r="C55" s="61"/>
    </row>
    <row r="56" spans="1:3" ht="13" x14ac:dyDescent="0.3">
      <c r="A56" s="46"/>
      <c r="B56" s="65" t="s">
        <v>70</v>
      </c>
      <c r="C56" s="61"/>
    </row>
    <row r="57" spans="1:3" ht="13" x14ac:dyDescent="0.3">
      <c r="A57" s="47">
        <v>546</v>
      </c>
      <c r="B57" s="65" t="s">
        <v>288</v>
      </c>
      <c r="C57" s="61"/>
    </row>
    <row r="58" spans="1:3" ht="13" x14ac:dyDescent="0.3">
      <c r="A58" s="46"/>
      <c r="B58" s="65"/>
      <c r="C58" s="61"/>
    </row>
    <row r="59" spans="1:3" ht="13" x14ac:dyDescent="0.3">
      <c r="A59" s="47">
        <v>549</v>
      </c>
      <c r="B59" s="65" t="s">
        <v>287</v>
      </c>
      <c r="C59" s="61"/>
    </row>
    <row r="60" spans="1:3" ht="13" x14ac:dyDescent="0.3">
      <c r="A60" s="46"/>
      <c r="B60" s="65"/>
      <c r="C60" s="61"/>
    </row>
    <row r="61" spans="1:3" ht="13" x14ac:dyDescent="0.3">
      <c r="A61" s="47">
        <v>555</v>
      </c>
      <c r="B61" s="65" t="s">
        <v>144</v>
      </c>
      <c r="C61" s="61"/>
    </row>
    <row r="62" spans="1:3" ht="13" x14ac:dyDescent="0.3">
      <c r="A62" s="46"/>
      <c r="B62" s="65" t="s">
        <v>70</v>
      </c>
      <c r="C62" s="61"/>
    </row>
    <row r="63" spans="1:3" ht="13" x14ac:dyDescent="0.3">
      <c r="A63" s="46">
        <v>556</v>
      </c>
      <c r="B63" s="65" t="s">
        <v>145</v>
      </c>
      <c r="C63" s="61"/>
    </row>
    <row r="64" spans="1:3" ht="13" x14ac:dyDescent="0.3">
      <c r="A64" s="46">
        <v>557</v>
      </c>
      <c r="B64" s="65" t="s">
        <v>219</v>
      </c>
      <c r="C64" s="61"/>
    </row>
    <row r="65" spans="1:3" ht="13" x14ac:dyDescent="0.3">
      <c r="A65" s="46"/>
      <c r="B65" s="65" t="s">
        <v>70</v>
      </c>
      <c r="C65" s="61"/>
    </row>
    <row r="66" spans="1:3" ht="13" x14ac:dyDescent="0.3">
      <c r="A66" s="47">
        <v>558</v>
      </c>
      <c r="B66" s="65" t="s">
        <v>146</v>
      </c>
      <c r="C66" s="61"/>
    </row>
    <row r="67" spans="1:3" x14ac:dyDescent="0.25">
      <c r="A67" s="46">
        <v>559</v>
      </c>
      <c r="B67" s="63" t="s">
        <v>79</v>
      </c>
      <c r="C67" s="61"/>
    </row>
    <row r="68" spans="1:3" x14ac:dyDescent="0.25">
      <c r="A68" s="46">
        <v>560</v>
      </c>
      <c r="B68" s="63" t="s">
        <v>80</v>
      </c>
      <c r="C68" s="61"/>
    </row>
    <row r="69" spans="1:3" ht="13" x14ac:dyDescent="0.3">
      <c r="A69" s="46"/>
      <c r="B69" s="65" t="s">
        <v>70</v>
      </c>
      <c r="C69" s="61"/>
    </row>
    <row r="70" spans="1:3" ht="13" x14ac:dyDescent="0.3">
      <c r="A70" s="47">
        <v>561</v>
      </c>
      <c r="B70" s="65" t="s">
        <v>147</v>
      </c>
      <c r="C70" s="61"/>
    </row>
    <row r="71" spans="1:3" ht="13" x14ac:dyDescent="0.3">
      <c r="A71" s="47">
        <v>562</v>
      </c>
      <c r="B71" s="65" t="s">
        <v>148</v>
      </c>
      <c r="C71" s="61"/>
    </row>
    <row r="72" spans="1:3" ht="13" x14ac:dyDescent="0.3">
      <c r="A72" s="47">
        <v>565</v>
      </c>
      <c r="B72" s="65" t="s">
        <v>149</v>
      </c>
      <c r="C72" s="61"/>
    </row>
    <row r="73" spans="1:3" ht="13" x14ac:dyDescent="0.3">
      <c r="A73" s="47"/>
      <c r="B73" s="65" t="s">
        <v>70</v>
      </c>
      <c r="C73" s="61"/>
    </row>
    <row r="74" spans="1:3" ht="15.75" customHeight="1" x14ac:dyDescent="0.25">
      <c r="A74" s="40">
        <v>568</v>
      </c>
      <c r="B74" s="39" t="s">
        <v>169</v>
      </c>
      <c r="C74" s="61"/>
    </row>
    <row r="75" spans="1:3" ht="13" x14ac:dyDescent="0.3">
      <c r="A75" s="48"/>
      <c r="B75" s="77"/>
      <c r="C75" s="78"/>
    </row>
    <row r="76" spans="1:3" x14ac:dyDescent="0.25">
      <c r="C76" s="78"/>
    </row>
    <row r="77" spans="1:3" x14ac:dyDescent="0.25">
      <c r="B77" s="73"/>
      <c r="C77" s="78"/>
    </row>
    <row r="78" spans="1:3" ht="13" x14ac:dyDescent="0.3">
      <c r="A78" s="82"/>
      <c r="B78" s="73"/>
      <c r="C78" s="78"/>
    </row>
    <row r="79" spans="1:3" x14ac:dyDescent="0.25">
      <c r="A79" s="83"/>
      <c r="B79" s="84"/>
      <c r="C79" s="78"/>
    </row>
    <row r="80" spans="1:3" x14ac:dyDescent="0.25">
      <c r="A80" s="85"/>
      <c r="B80" s="73"/>
      <c r="C80" s="78"/>
    </row>
    <row r="81" spans="1:3" ht="13" x14ac:dyDescent="0.3">
      <c r="A81" s="82"/>
      <c r="B81" s="86"/>
      <c r="C81" s="87"/>
    </row>
    <row r="82" spans="1:3" ht="13" x14ac:dyDescent="0.3">
      <c r="A82" s="82"/>
      <c r="B82" s="86"/>
      <c r="C82" s="87"/>
    </row>
    <row r="83" spans="1:3" ht="13" x14ac:dyDescent="0.3">
      <c r="A83" s="82"/>
      <c r="B83" s="86"/>
      <c r="C83" s="87"/>
    </row>
    <row r="84" spans="1:3" x14ac:dyDescent="0.25">
      <c r="A84" s="50" t="s">
        <v>174</v>
      </c>
    </row>
    <row r="85" spans="1:3" x14ac:dyDescent="0.25">
      <c r="A85" s="51" t="s">
        <v>202</v>
      </c>
    </row>
    <row r="86" spans="1:3" x14ac:dyDescent="0.25">
      <c r="A86" s="51" t="s">
        <v>203</v>
      </c>
    </row>
    <row r="87" spans="1:3" x14ac:dyDescent="0.25">
      <c r="A87" s="49" t="s">
        <v>290</v>
      </c>
    </row>
    <row r="88" spans="1:3" x14ac:dyDescent="0.25">
      <c r="A88" s="263"/>
      <c r="B88" s="263"/>
      <c r="C88" s="263"/>
    </row>
    <row r="89" spans="1:3" x14ac:dyDescent="0.25">
      <c r="A89" s="263"/>
      <c r="B89" s="263"/>
      <c r="C89" s="142"/>
    </row>
    <row r="90" spans="1:3" x14ac:dyDescent="0.25">
      <c r="A90" s="263"/>
      <c r="B90" s="263"/>
      <c r="C90" s="263"/>
    </row>
  </sheetData>
  <mergeCells count="4">
    <mergeCell ref="A1:C4"/>
    <mergeCell ref="A88:C88"/>
    <mergeCell ref="A89:B89"/>
    <mergeCell ref="A90:C90"/>
  </mergeCells>
  <pageMargins left="0.70866141732283472" right="0.70866141732283472" top="0.74803149606299213" bottom="0.74803149606299213" header="0.31496062992125984" footer="0.31496062992125984"/>
  <pageSetup scale="85" orientation="portrait" r:id="rId1"/>
  <headerFooter>
    <oddFooter>&amp;R&amp;P/&amp;N</oddFooter>
  </headerFooter>
  <colBreaks count="1" manualBreakCount="1">
    <brk id="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13</vt:i4>
      </vt:variant>
    </vt:vector>
  </HeadingPairs>
  <TitlesOfParts>
    <vt:vector size="24" baseType="lpstr">
      <vt:lpstr>Portada EEFF Auditados</vt:lpstr>
      <vt:lpstr>ESFS Anual</vt:lpstr>
      <vt:lpstr>ER Anual</vt:lpstr>
      <vt:lpstr>ORI Anual</vt:lpstr>
      <vt:lpstr>ECP Anual</vt:lpstr>
      <vt:lpstr>EFE Anual</vt:lpstr>
      <vt:lpstr>Portada EEFF Mensuales</vt:lpstr>
      <vt:lpstr>ESF mensual</vt:lpstr>
      <vt:lpstr>ER mensual</vt:lpstr>
      <vt:lpstr>Portada ORI Anual</vt:lpstr>
      <vt:lpstr>ORI Anual SIBOIF</vt:lpstr>
      <vt:lpstr>'ECP Anual'!Área_de_impresión</vt:lpstr>
      <vt:lpstr>'EFE Anual'!Área_de_impresión</vt:lpstr>
      <vt:lpstr>'ER Anual'!Área_de_impresión</vt:lpstr>
      <vt:lpstr>'ER mensual'!Área_de_impresión</vt:lpstr>
      <vt:lpstr>'ESF mensual'!Área_de_impresión</vt:lpstr>
      <vt:lpstr>'ESFS Anual'!Área_de_impresión</vt:lpstr>
      <vt:lpstr>'ORI Anual'!Área_de_impresión</vt:lpstr>
      <vt:lpstr>'ORI Anual SIBOIF'!Área_de_impresión</vt:lpstr>
      <vt:lpstr>'EFE Anual'!Títulos_a_imprimir</vt:lpstr>
      <vt:lpstr>'ER Anual'!Títulos_a_imprimir</vt:lpstr>
      <vt:lpstr>'ER mensual'!Títulos_a_imprimir</vt:lpstr>
      <vt:lpstr>'ESF mensual'!Títulos_a_imprimir</vt:lpstr>
      <vt:lpstr>'ESFS Anual'!Títulos_a_imprimir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scanner_amp</dc:creator>
  <cp:lastModifiedBy>David Sebastián Ortega Oporta</cp:lastModifiedBy>
  <cp:lastPrinted>2022-02-01T20:16:33Z</cp:lastPrinted>
  <dcterms:created xsi:type="dcterms:W3CDTF">2015-11-18T12:26:14Z</dcterms:created>
  <dcterms:modified xsi:type="dcterms:W3CDTF">2023-03-03T14:25:48Z</dcterms:modified>
</cp:coreProperties>
</file>